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connections.xml" ContentType="application/vnd.openxmlformats-officedocument.spreadsheetml.connections+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queryTables/queryTable5.xml" ContentType="application/vnd.openxmlformats-officedocument.spreadsheetml.queryTable+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2585" yWindow="-45" windowWidth="13320" windowHeight="12405"/>
  </bookViews>
  <sheets>
    <sheet name="NEW...Tables 87-90" sheetId="5" r:id="rId1"/>
    <sheet name="OLD...Tables" sheetId="7" r:id="rId2"/>
    <sheet name="NEW...Tables 91-112" sheetId="6" r:id="rId3"/>
    <sheet name="OLD...Tabs" sheetId="8" r:id="rId4"/>
    <sheet name="Summary Table for Fact Book" sheetId="9" r:id="rId5"/>
    <sheet name="Pivot Table for Data Exchange" sheetId="2" r:id="rId6"/>
    <sheet name="Pivot Table for Fact Book" sheetId="3" r:id="rId7"/>
    <sheet name="E-learning credit hours" sheetId="1" r:id="rId8"/>
    <sheet name="Format 01" sheetId="10" r:id="rId9"/>
  </sheets>
  <definedNames>
    <definedName name="_xlnm.Print_Area" localSheetId="0">'NEW...Tables 87-90'!$A$1:$P$117</definedName>
    <definedName name="_xlnm.Print_Area" localSheetId="2">'NEW...Tables 91-112'!$A$1:$P$461</definedName>
    <definedName name="_xlnm.Print_Area" localSheetId="1">OLD...Tables!$A$1:$P$117</definedName>
    <definedName name="_xlnm.Print_Area" localSheetId="3">OLD...Tabs!$A$1:$P$461</definedName>
    <definedName name="Type10ug1" localSheetId="7">'E-learning credit hours'!$I$516:$I$621</definedName>
    <definedName name="Type10ug2" localSheetId="7">'E-learning credit hours'!$K$516:$K$621</definedName>
    <definedName name="Type10ug3" localSheetId="7">'E-learning credit hours'!$O$516:$O$621</definedName>
    <definedName name="Type10ug4" localSheetId="7">'E-learning credit hours'!$P$516:$P$621</definedName>
    <definedName name="Type10ug5" localSheetId="7">'E-learning credit hours'!$Q$516:$Q$621</definedName>
  </definedNames>
  <calcPr calcId="125725"/>
  <pivotCaches>
    <pivotCache cacheId="13" r:id="rId10"/>
    <pivotCache cacheId="14" r:id="rId11"/>
  </pivotCaches>
</workbook>
</file>

<file path=xl/calcChain.xml><?xml version="1.0" encoding="utf-8"?>
<calcChain xmlns="http://schemas.openxmlformats.org/spreadsheetml/2006/main">
  <c r="T7" i="1"/>
  <c r="U7"/>
  <c r="T8"/>
  <c r="U8"/>
  <c r="T9"/>
  <c r="U9"/>
  <c r="T10"/>
  <c r="U10"/>
  <c r="T11"/>
  <c r="U11"/>
  <c r="T12"/>
  <c r="U12"/>
  <c r="T13"/>
  <c r="U13"/>
  <c r="T14"/>
  <c r="U14"/>
  <c r="T15"/>
  <c r="U15"/>
  <c r="T16"/>
  <c r="U16"/>
  <c r="T17"/>
  <c r="U17"/>
  <c r="T18"/>
  <c r="U18"/>
  <c r="T19"/>
  <c r="U19"/>
  <c r="T20"/>
  <c r="U20"/>
  <c r="T21"/>
  <c r="U21"/>
  <c r="T22"/>
  <c r="U22"/>
  <c r="T23"/>
  <c r="U23"/>
  <c r="T24"/>
  <c r="U24"/>
  <c r="T25"/>
  <c r="U25"/>
  <c r="T26"/>
  <c r="U26"/>
  <c r="T27"/>
  <c r="U27"/>
  <c r="T28"/>
  <c r="U28"/>
  <c r="T29"/>
  <c r="U29"/>
  <c r="T30"/>
  <c r="U30"/>
  <c r="T31"/>
  <c r="U31"/>
  <c r="T32"/>
  <c r="U32"/>
  <c r="T33"/>
  <c r="U33"/>
  <c r="T34"/>
  <c r="U34"/>
  <c r="T35"/>
  <c r="U35"/>
  <c r="T36"/>
  <c r="U36"/>
  <c r="T37"/>
  <c r="U37"/>
  <c r="T38"/>
  <c r="U38"/>
  <c r="T39"/>
  <c r="U39"/>
  <c r="T40"/>
  <c r="U40"/>
  <c r="T41"/>
  <c r="U41"/>
  <c r="T42"/>
  <c r="U42"/>
  <c r="T43"/>
  <c r="U43"/>
  <c r="T44"/>
  <c r="U44"/>
  <c r="T45"/>
  <c r="U45"/>
  <c r="T46"/>
  <c r="U46"/>
  <c r="T47"/>
  <c r="U47"/>
  <c r="T48"/>
  <c r="U48"/>
  <c r="T49"/>
  <c r="U49"/>
  <c r="T50"/>
  <c r="U50"/>
  <c r="T51"/>
  <c r="U51"/>
  <c r="T52"/>
  <c r="U52"/>
  <c r="T53"/>
  <c r="U53"/>
  <c r="T54"/>
  <c r="U54"/>
  <c r="T55"/>
  <c r="U55"/>
  <c r="T56"/>
  <c r="U56"/>
  <c r="T57"/>
  <c r="U57"/>
  <c r="T58"/>
  <c r="U58"/>
  <c r="T59"/>
  <c r="U59"/>
  <c r="T60"/>
  <c r="U60"/>
  <c r="T61"/>
  <c r="U61"/>
  <c r="T62"/>
  <c r="U62"/>
  <c r="T63"/>
  <c r="U63"/>
  <c r="T64"/>
  <c r="U64"/>
  <c r="T65"/>
  <c r="U65"/>
  <c r="T66"/>
  <c r="U66"/>
  <c r="T67"/>
  <c r="U67"/>
  <c r="T68"/>
  <c r="U68"/>
  <c r="T69"/>
  <c r="U69"/>
  <c r="T70"/>
  <c r="U70"/>
  <c r="T71"/>
  <c r="U71"/>
  <c r="T72"/>
  <c r="U72"/>
  <c r="T73"/>
  <c r="U73"/>
  <c r="T74"/>
  <c r="U74"/>
  <c r="T75"/>
  <c r="U75"/>
  <c r="T76"/>
  <c r="U76"/>
  <c r="T78"/>
  <c r="U78"/>
  <c r="T79"/>
  <c r="U79"/>
  <c r="T80"/>
  <c r="U80"/>
  <c r="T81"/>
  <c r="U81"/>
  <c r="T82"/>
  <c r="U82"/>
  <c r="T83"/>
  <c r="U83"/>
  <c r="T84"/>
  <c r="U84"/>
  <c r="T85"/>
  <c r="U85"/>
  <c r="T86"/>
  <c r="U86"/>
  <c r="T87"/>
  <c r="U87"/>
  <c r="T88"/>
  <c r="U88"/>
  <c r="T89"/>
  <c r="U89"/>
  <c r="T90"/>
  <c r="U90"/>
  <c r="T91"/>
  <c r="U91"/>
  <c r="T92"/>
  <c r="U92"/>
  <c r="T93"/>
  <c r="U93"/>
  <c r="T94"/>
  <c r="U94"/>
  <c r="T95"/>
  <c r="U95"/>
  <c r="T96"/>
  <c r="U96"/>
  <c r="T97"/>
  <c r="U97"/>
  <c r="T98"/>
  <c r="U98"/>
  <c r="T99"/>
  <c r="U99"/>
  <c r="T100"/>
  <c r="U100"/>
  <c r="T101"/>
  <c r="U101"/>
  <c r="T102"/>
  <c r="U102"/>
  <c r="T103"/>
  <c r="U103"/>
  <c r="T104"/>
  <c r="U104"/>
  <c r="T105"/>
  <c r="U105"/>
  <c r="T106"/>
  <c r="U106"/>
  <c r="T107"/>
  <c r="U107"/>
  <c r="T108"/>
  <c r="U108"/>
  <c r="T109"/>
  <c r="U109"/>
  <c r="T110"/>
  <c r="U110"/>
  <c r="T111"/>
  <c r="U111"/>
  <c r="T112"/>
  <c r="U112"/>
  <c r="T113"/>
  <c r="U113"/>
  <c r="T114"/>
  <c r="U114"/>
  <c r="T115"/>
  <c r="U115"/>
  <c r="T116"/>
  <c r="U116"/>
  <c r="T117"/>
  <c r="U117"/>
  <c r="T118"/>
  <c r="U118"/>
  <c r="T119"/>
  <c r="U119"/>
  <c r="T120"/>
  <c r="U120"/>
  <c r="T121"/>
  <c r="U121"/>
  <c r="T122"/>
  <c r="U122"/>
  <c r="T123"/>
  <c r="U123"/>
  <c r="T124"/>
  <c r="U124"/>
  <c r="T125"/>
  <c r="U125"/>
  <c r="T126"/>
  <c r="U126"/>
  <c r="T127"/>
  <c r="U127"/>
  <c r="T128"/>
  <c r="U128"/>
  <c r="T129"/>
  <c r="U129"/>
  <c r="T130"/>
  <c r="U130"/>
  <c r="T131"/>
  <c r="U131"/>
  <c r="T132"/>
  <c r="U132"/>
  <c r="T133"/>
  <c r="U133"/>
  <c r="T134"/>
  <c r="U134"/>
  <c r="T135"/>
  <c r="U135"/>
  <c r="T136"/>
  <c r="U136"/>
  <c r="T137"/>
  <c r="U137"/>
  <c r="T138"/>
  <c r="U138"/>
  <c r="T139"/>
  <c r="U139"/>
  <c r="T140"/>
  <c r="U140"/>
  <c r="T141"/>
  <c r="U141"/>
  <c r="T142"/>
  <c r="U142"/>
  <c r="T143"/>
  <c r="U143"/>
  <c r="T144"/>
  <c r="U144"/>
  <c r="T145"/>
  <c r="U145"/>
  <c r="T146"/>
  <c r="U146"/>
  <c r="T147"/>
  <c r="U147"/>
  <c r="T148"/>
  <c r="U148"/>
  <c r="T149"/>
  <c r="U149"/>
  <c r="T150"/>
  <c r="U150"/>
  <c r="T151"/>
  <c r="U151"/>
  <c r="T152"/>
  <c r="U152"/>
  <c r="T153"/>
  <c r="U153"/>
  <c r="T154"/>
  <c r="U154"/>
  <c r="T155"/>
  <c r="U155"/>
  <c r="T156"/>
  <c r="U156"/>
  <c r="T157"/>
  <c r="U157"/>
  <c r="T158"/>
  <c r="U158"/>
  <c r="T159"/>
  <c r="U159"/>
  <c r="T160"/>
  <c r="U160"/>
  <c r="T161"/>
  <c r="U161"/>
  <c r="T162"/>
  <c r="U162"/>
  <c r="T163"/>
  <c r="U163"/>
  <c r="T164"/>
  <c r="U164"/>
  <c r="T165"/>
  <c r="U165"/>
  <c r="T166"/>
  <c r="U166"/>
  <c r="T167"/>
  <c r="U167"/>
  <c r="T168"/>
  <c r="U168"/>
  <c r="T169"/>
  <c r="U169"/>
  <c r="T170"/>
  <c r="U170"/>
  <c r="T171"/>
  <c r="U171"/>
  <c r="T172"/>
  <c r="U172"/>
  <c r="T173"/>
  <c r="U173"/>
  <c r="T174"/>
  <c r="U174"/>
  <c r="T175"/>
  <c r="U175"/>
  <c r="T176"/>
  <c r="U176"/>
  <c r="T177"/>
  <c r="U177"/>
  <c r="T178"/>
  <c r="U178"/>
  <c r="T179"/>
  <c r="U179"/>
  <c r="T180"/>
  <c r="U180"/>
  <c r="T181"/>
  <c r="U181"/>
  <c r="T182"/>
  <c r="U182"/>
  <c r="T183"/>
  <c r="U183"/>
  <c r="T184"/>
  <c r="U184"/>
  <c r="T185"/>
  <c r="U185"/>
  <c r="T186"/>
  <c r="U186"/>
  <c r="T187"/>
  <c r="U187"/>
  <c r="T188"/>
  <c r="U188"/>
  <c r="T189"/>
  <c r="U189"/>
  <c r="T190"/>
  <c r="U190"/>
  <c r="T191"/>
  <c r="U191"/>
  <c r="T192"/>
  <c r="U192"/>
  <c r="T193"/>
  <c r="U193"/>
  <c r="T194"/>
  <c r="U194"/>
  <c r="T195"/>
  <c r="U195"/>
  <c r="T196"/>
  <c r="U196"/>
  <c r="T197"/>
  <c r="U197"/>
  <c r="T198"/>
  <c r="U198"/>
  <c r="T199"/>
  <c r="U199"/>
  <c r="T200"/>
  <c r="U200"/>
  <c r="T201"/>
  <c r="U201"/>
  <c r="T202"/>
  <c r="U202"/>
  <c r="T203"/>
  <c r="U203"/>
  <c r="T204"/>
  <c r="U204"/>
  <c r="T205"/>
  <c r="U205"/>
  <c r="T206"/>
  <c r="U206"/>
  <c r="T207"/>
  <c r="U207"/>
  <c r="T208"/>
  <c r="U208"/>
  <c r="T209"/>
  <c r="U209"/>
  <c r="T210"/>
  <c r="U210"/>
  <c r="T211"/>
  <c r="U211"/>
  <c r="T212"/>
  <c r="U212"/>
  <c r="T213"/>
  <c r="U213"/>
  <c r="T214"/>
  <c r="U214"/>
  <c r="T215"/>
  <c r="U215"/>
  <c r="T216"/>
  <c r="U216"/>
  <c r="T217"/>
  <c r="U217"/>
  <c r="T218"/>
  <c r="U218"/>
  <c r="T219"/>
  <c r="U219"/>
  <c r="T220"/>
  <c r="U220"/>
  <c r="T221"/>
  <c r="U221"/>
  <c r="T222"/>
  <c r="U222"/>
  <c r="T223"/>
  <c r="U223"/>
  <c r="T224"/>
  <c r="U224"/>
  <c r="T225"/>
  <c r="U225"/>
  <c r="T226"/>
  <c r="U226"/>
  <c r="T227"/>
  <c r="U227"/>
  <c r="T228"/>
  <c r="U228"/>
  <c r="T229"/>
  <c r="U229"/>
  <c r="T230"/>
  <c r="U230"/>
  <c r="T231"/>
  <c r="U231"/>
  <c r="T232"/>
  <c r="U232"/>
  <c r="T233"/>
  <c r="U233"/>
  <c r="T234"/>
  <c r="U234"/>
  <c r="T235"/>
  <c r="U235"/>
  <c r="T236"/>
  <c r="U236"/>
  <c r="T237"/>
  <c r="U237"/>
  <c r="T238"/>
  <c r="U238"/>
  <c r="T239"/>
  <c r="U239"/>
  <c r="T240"/>
  <c r="U240"/>
  <c r="T241"/>
  <c r="U241"/>
  <c r="T242"/>
  <c r="U242"/>
  <c r="T243"/>
  <c r="U243"/>
  <c r="T244"/>
  <c r="U244"/>
  <c r="T245"/>
  <c r="U245"/>
  <c r="T246"/>
  <c r="U246"/>
  <c r="T247"/>
  <c r="U247"/>
  <c r="T248"/>
  <c r="U248"/>
  <c r="T249"/>
  <c r="U249"/>
  <c r="T250"/>
  <c r="U250"/>
  <c r="T251"/>
  <c r="U251"/>
  <c r="T252"/>
  <c r="U252"/>
  <c r="T253"/>
  <c r="U253"/>
  <c r="T254"/>
  <c r="U254"/>
  <c r="T255"/>
  <c r="U255"/>
  <c r="T256"/>
  <c r="U256"/>
  <c r="T257"/>
  <c r="U257"/>
  <c r="T258"/>
  <c r="U258"/>
  <c r="T259"/>
  <c r="U259"/>
  <c r="T260"/>
  <c r="U260"/>
  <c r="T261"/>
  <c r="U261"/>
  <c r="T262"/>
  <c r="U262"/>
  <c r="T263"/>
  <c r="U263"/>
  <c r="T264"/>
  <c r="U264"/>
  <c r="T265"/>
  <c r="U265"/>
  <c r="T266"/>
  <c r="U266"/>
  <c r="T267"/>
  <c r="U267"/>
  <c r="T268"/>
  <c r="U268"/>
  <c r="T269"/>
  <c r="U269"/>
  <c r="T270"/>
  <c r="U270"/>
  <c r="T271"/>
  <c r="U271"/>
  <c r="T272"/>
  <c r="U272"/>
  <c r="T273"/>
  <c r="U273"/>
  <c r="T274"/>
  <c r="U274"/>
  <c r="T275"/>
  <c r="U275"/>
  <c r="T276"/>
  <c r="U276"/>
  <c r="T277"/>
  <c r="U277"/>
  <c r="T278"/>
  <c r="U278"/>
  <c r="T279"/>
  <c r="U279"/>
  <c r="T280"/>
  <c r="U280"/>
  <c r="T281"/>
  <c r="U281"/>
  <c r="T282"/>
  <c r="U282"/>
  <c r="T283"/>
  <c r="U283"/>
  <c r="T284"/>
  <c r="U284"/>
  <c r="T285"/>
  <c r="U285"/>
  <c r="T286"/>
  <c r="U286"/>
  <c r="T287"/>
  <c r="U287"/>
  <c r="T288"/>
  <c r="U288"/>
  <c r="T289"/>
  <c r="U289"/>
  <c r="T290"/>
  <c r="U290"/>
  <c r="T291"/>
  <c r="U291"/>
  <c r="T292"/>
  <c r="U292"/>
  <c r="T293"/>
  <c r="U293"/>
  <c r="T294"/>
  <c r="U294"/>
  <c r="T295"/>
  <c r="U295"/>
  <c r="T296"/>
  <c r="U296"/>
  <c r="T297"/>
  <c r="U297"/>
  <c r="T298"/>
  <c r="U298"/>
  <c r="T299"/>
  <c r="U299"/>
  <c r="T300"/>
  <c r="U300"/>
  <c r="T301"/>
  <c r="U301"/>
  <c r="T302"/>
  <c r="U302"/>
  <c r="T303"/>
  <c r="U303"/>
  <c r="T304"/>
  <c r="U304"/>
  <c r="T305"/>
  <c r="U305"/>
  <c r="T306"/>
  <c r="U306"/>
  <c r="T307"/>
  <c r="U307"/>
  <c r="T308"/>
  <c r="U308"/>
  <c r="T309"/>
  <c r="U309"/>
  <c r="T310"/>
  <c r="U310"/>
  <c r="T311"/>
  <c r="U311"/>
  <c r="T312"/>
  <c r="U312"/>
  <c r="T313"/>
  <c r="U313"/>
  <c r="T314"/>
  <c r="U314"/>
  <c r="T315"/>
  <c r="U315"/>
  <c r="T316"/>
  <c r="U316"/>
  <c r="T317"/>
  <c r="U317"/>
  <c r="T318"/>
  <c r="U318"/>
  <c r="T319"/>
  <c r="U319"/>
  <c r="T320"/>
  <c r="U320"/>
  <c r="T321"/>
  <c r="U321"/>
  <c r="T322"/>
  <c r="U322"/>
  <c r="T323"/>
  <c r="U323"/>
  <c r="T324"/>
  <c r="U324"/>
  <c r="T325"/>
  <c r="U325"/>
  <c r="T326"/>
  <c r="U326"/>
  <c r="T327"/>
  <c r="U327"/>
  <c r="T328"/>
  <c r="U328"/>
  <c r="T329"/>
  <c r="U329"/>
  <c r="T330"/>
  <c r="U330"/>
  <c r="T331"/>
  <c r="U331"/>
  <c r="T332"/>
  <c r="U332"/>
  <c r="T333"/>
  <c r="U333"/>
  <c r="T334"/>
  <c r="U334"/>
  <c r="T335"/>
  <c r="U335"/>
  <c r="T336"/>
  <c r="U336"/>
  <c r="T337"/>
  <c r="U337"/>
  <c r="T338"/>
  <c r="U338"/>
  <c r="T339"/>
  <c r="U339"/>
  <c r="T340"/>
  <c r="U340"/>
  <c r="T341"/>
  <c r="U341"/>
  <c r="T342"/>
  <c r="U342"/>
  <c r="T343"/>
  <c r="U343"/>
  <c r="T344"/>
  <c r="U344"/>
  <c r="T345"/>
  <c r="U345"/>
  <c r="T346"/>
  <c r="U346"/>
  <c r="T347"/>
  <c r="U347"/>
  <c r="T348"/>
  <c r="U348"/>
  <c r="T349"/>
  <c r="U349"/>
  <c r="T350"/>
  <c r="U350"/>
  <c r="T351"/>
  <c r="U351"/>
  <c r="T352"/>
  <c r="U352"/>
  <c r="T353"/>
  <c r="U353"/>
  <c r="T354"/>
  <c r="U354"/>
  <c r="T355"/>
  <c r="U355"/>
  <c r="T356"/>
  <c r="U356"/>
  <c r="T357"/>
  <c r="U357"/>
  <c r="T358"/>
  <c r="U358"/>
  <c r="T359"/>
  <c r="U359"/>
  <c r="T360"/>
  <c r="U360"/>
  <c r="T361"/>
  <c r="U361"/>
  <c r="T362"/>
  <c r="U362"/>
  <c r="T363"/>
  <c r="U363"/>
  <c r="T364"/>
  <c r="U364"/>
  <c r="T365"/>
  <c r="U365"/>
  <c r="T366"/>
  <c r="U366"/>
  <c r="T367"/>
  <c r="U367"/>
  <c r="T368"/>
  <c r="U368"/>
  <c r="T369"/>
  <c r="U369"/>
  <c r="T370"/>
  <c r="U370"/>
  <c r="T371"/>
  <c r="U371"/>
  <c r="T372"/>
  <c r="U372"/>
  <c r="T373"/>
  <c r="U373"/>
  <c r="T374"/>
  <c r="U374"/>
  <c r="T375"/>
  <c r="U375"/>
  <c r="T376"/>
  <c r="U376"/>
  <c r="T377"/>
  <c r="U377"/>
  <c r="T378"/>
  <c r="U378"/>
  <c r="T379"/>
  <c r="U379"/>
  <c r="T380"/>
  <c r="U380"/>
  <c r="T381"/>
  <c r="U381"/>
  <c r="T382"/>
  <c r="U382"/>
  <c r="T383"/>
  <c r="U383"/>
  <c r="T384"/>
  <c r="U384"/>
  <c r="T385"/>
  <c r="U385"/>
  <c r="T386"/>
  <c r="U386"/>
  <c r="T387"/>
  <c r="U387"/>
  <c r="T388"/>
  <c r="U388"/>
  <c r="T389"/>
  <c r="U389"/>
  <c r="T390"/>
  <c r="U390"/>
  <c r="T391"/>
  <c r="U391"/>
  <c r="T392"/>
  <c r="U392"/>
  <c r="T393"/>
  <c r="U393"/>
  <c r="T394"/>
  <c r="U394"/>
  <c r="T395"/>
  <c r="U395"/>
  <c r="T396"/>
  <c r="U396"/>
  <c r="T397"/>
  <c r="U397"/>
  <c r="T398"/>
  <c r="U398"/>
  <c r="T399"/>
  <c r="U399"/>
  <c r="T400"/>
  <c r="U400"/>
  <c r="T401"/>
  <c r="U401"/>
  <c r="T402"/>
  <c r="U402"/>
  <c r="T403"/>
  <c r="U403"/>
  <c r="T404"/>
  <c r="U404"/>
  <c r="T405"/>
  <c r="U405"/>
  <c r="T406"/>
  <c r="U406"/>
  <c r="T407"/>
  <c r="U407"/>
  <c r="T408"/>
  <c r="U408"/>
  <c r="T409"/>
  <c r="U409"/>
  <c r="T410"/>
  <c r="U410"/>
  <c r="T411"/>
  <c r="U411"/>
  <c r="T412"/>
  <c r="U412"/>
  <c r="T413"/>
  <c r="U413"/>
  <c r="T414"/>
  <c r="U414"/>
  <c r="T415"/>
  <c r="U415"/>
  <c r="T416"/>
  <c r="U416"/>
  <c r="T417"/>
  <c r="U417"/>
  <c r="T418"/>
  <c r="U418"/>
  <c r="T419"/>
  <c r="U419"/>
  <c r="T420"/>
  <c r="U420"/>
  <c r="T421"/>
  <c r="U421"/>
  <c r="T422"/>
  <c r="U422"/>
  <c r="T423"/>
  <c r="U423"/>
  <c r="T424"/>
  <c r="U424"/>
  <c r="T425"/>
  <c r="U425"/>
  <c r="T426"/>
  <c r="U426"/>
  <c r="T427"/>
  <c r="U427"/>
  <c r="T428"/>
  <c r="U428"/>
  <c r="T429"/>
  <c r="U429"/>
  <c r="T430"/>
  <c r="U430"/>
  <c r="T431"/>
  <c r="U431"/>
  <c r="T432"/>
  <c r="U432"/>
  <c r="T433"/>
  <c r="U433"/>
  <c r="T434"/>
  <c r="U434"/>
  <c r="T435"/>
  <c r="U435"/>
  <c r="T436"/>
  <c r="U436"/>
  <c r="T437"/>
  <c r="U437"/>
  <c r="T438"/>
  <c r="U438"/>
  <c r="T439"/>
  <c r="U439"/>
  <c r="T440"/>
  <c r="U440"/>
  <c r="T441"/>
  <c r="U441"/>
  <c r="T442"/>
  <c r="U442"/>
  <c r="T443"/>
  <c r="U443"/>
  <c r="T444"/>
  <c r="U444"/>
  <c r="T445"/>
  <c r="U445"/>
  <c r="T446"/>
  <c r="U446"/>
  <c r="T447"/>
  <c r="U447"/>
  <c r="T448"/>
  <c r="U448"/>
  <c r="T449"/>
  <c r="U449"/>
  <c r="T450"/>
  <c r="U450"/>
  <c r="T451"/>
  <c r="U451"/>
  <c r="T452"/>
  <c r="U452"/>
  <c r="T453"/>
  <c r="U453"/>
  <c r="T454"/>
  <c r="U454"/>
  <c r="T455"/>
  <c r="U455"/>
  <c r="T456"/>
  <c r="U456"/>
  <c r="T457"/>
  <c r="U457"/>
  <c r="T458"/>
  <c r="U458"/>
  <c r="T459"/>
  <c r="U459"/>
  <c r="T460"/>
  <c r="U460"/>
  <c r="T461"/>
  <c r="U461"/>
  <c r="T462"/>
  <c r="U462"/>
  <c r="T463"/>
  <c r="U463"/>
  <c r="T464"/>
  <c r="U464"/>
  <c r="T465"/>
  <c r="U465"/>
  <c r="T466"/>
  <c r="U466"/>
  <c r="T467"/>
  <c r="U467"/>
  <c r="T468"/>
  <c r="U468"/>
  <c r="T469"/>
  <c r="U469"/>
  <c r="T470"/>
  <c r="U470"/>
  <c r="T471"/>
  <c r="U471"/>
  <c r="T472"/>
  <c r="U472"/>
  <c r="T473"/>
  <c r="U473"/>
  <c r="T474"/>
  <c r="U474"/>
  <c r="T475"/>
  <c r="U475"/>
  <c r="T476"/>
  <c r="U476"/>
  <c r="T477"/>
  <c r="U477"/>
  <c r="T478"/>
  <c r="U478"/>
  <c r="T479"/>
  <c r="U479"/>
  <c r="T480"/>
  <c r="U480"/>
  <c r="T481"/>
  <c r="U481"/>
  <c r="T482"/>
  <c r="U482"/>
  <c r="T483"/>
  <c r="U483"/>
  <c r="T484"/>
  <c r="U484"/>
  <c r="T485"/>
  <c r="U485"/>
  <c r="T486"/>
  <c r="U486"/>
  <c r="T487"/>
  <c r="U487"/>
  <c r="T488"/>
  <c r="U488"/>
  <c r="T489"/>
  <c r="U489"/>
  <c r="T490"/>
  <c r="U490"/>
  <c r="T491"/>
  <c r="U491"/>
  <c r="T492"/>
  <c r="U492"/>
  <c r="T493"/>
  <c r="U493"/>
  <c r="T494"/>
  <c r="U494"/>
  <c r="T495"/>
  <c r="U495"/>
  <c r="T496"/>
  <c r="U496"/>
  <c r="T497"/>
  <c r="U497"/>
  <c r="T498"/>
  <c r="U498"/>
  <c r="T499"/>
  <c r="U499"/>
  <c r="T500"/>
  <c r="U500"/>
  <c r="T501"/>
  <c r="U501"/>
  <c r="T502"/>
  <c r="U502"/>
  <c r="T503"/>
  <c r="U503"/>
  <c r="T504"/>
  <c r="U504"/>
  <c r="T505"/>
  <c r="U505"/>
  <c r="T506"/>
  <c r="U506"/>
  <c r="T507"/>
  <c r="U507"/>
  <c r="T508"/>
  <c r="U508"/>
  <c r="T509"/>
  <c r="U509"/>
  <c r="T510"/>
  <c r="U510"/>
  <c r="T511"/>
  <c r="U511"/>
  <c r="T512"/>
  <c r="U512"/>
  <c r="T513"/>
  <c r="U513"/>
  <c r="T514"/>
  <c r="U514"/>
  <c r="T515"/>
  <c r="U515"/>
  <c r="T516"/>
  <c r="U516"/>
  <c r="T517"/>
  <c r="U517"/>
  <c r="T518"/>
  <c r="U518"/>
  <c r="T519"/>
  <c r="U519"/>
  <c r="T520"/>
  <c r="U520"/>
  <c r="T521"/>
  <c r="U521"/>
  <c r="T522"/>
  <c r="U522"/>
  <c r="T523"/>
  <c r="U523"/>
  <c r="T524"/>
  <c r="U524"/>
  <c r="T525"/>
  <c r="U525"/>
  <c r="T526"/>
  <c r="U526"/>
  <c r="T527"/>
  <c r="U527"/>
  <c r="T528"/>
  <c r="U528"/>
  <c r="T529"/>
  <c r="U529"/>
  <c r="T530"/>
  <c r="U530"/>
  <c r="T531"/>
  <c r="U531"/>
  <c r="T532"/>
  <c r="U532"/>
  <c r="T533"/>
  <c r="U533"/>
  <c r="T534"/>
  <c r="U534"/>
  <c r="T535"/>
  <c r="U535"/>
  <c r="T536"/>
  <c r="U536"/>
  <c r="T537"/>
  <c r="U537"/>
  <c r="T538"/>
  <c r="U538"/>
  <c r="T539"/>
  <c r="U539"/>
  <c r="T540"/>
  <c r="U540"/>
  <c r="T541"/>
  <c r="U541"/>
  <c r="T542"/>
  <c r="U542"/>
  <c r="T543"/>
  <c r="U543"/>
  <c r="T544"/>
  <c r="U544"/>
  <c r="T545"/>
  <c r="U545"/>
  <c r="T546"/>
  <c r="U546"/>
  <c r="T547"/>
  <c r="U547"/>
  <c r="T548"/>
  <c r="U548"/>
  <c r="T549"/>
  <c r="U549"/>
  <c r="T550"/>
  <c r="U550"/>
  <c r="T551"/>
  <c r="U551"/>
  <c r="T552"/>
  <c r="U552"/>
  <c r="T553"/>
  <c r="U553"/>
  <c r="T554"/>
  <c r="U554"/>
  <c r="T555"/>
  <c r="U555"/>
  <c r="T556"/>
  <c r="U556"/>
  <c r="T557"/>
  <c r="U557"/>
  <c r="T558"/>
  <c r="U558"/>
  <c r="T559"/>
  <c r="U559"/>
  <c r="T560"/>
  <c r="U560"/>
  <c r="T561"/>
  <c r="U561"/>
  <c r="T562"/>
  <c r="U562"/>
  <c r="T563"/>
  <c r="U563"/>
  <c r="T564"/>
  <c r="U564"/>
  <c r="T565"/>
  <c r="U565"/>
  <c r="T566"/>
  <c r="U566"/>
  <c r="T567"/>
  <c r="U567"/>
  <c r="T568"/>
  <c r="U568"/>
  <c r="T569"/>
  <c r="U569"/>
  <c r="T570"/>
  <c r="U570"/>
  <c r="T571"/>
  <c r="U571"/>
  <c r="T572"/>
  <c r="U572"/>
  <c r="T573"/>
  <c r="U573"/>
  <c r="T574"/>
  <c r="U574"/>
  <c r="T575"/>
  <c r="U575"/>
  <c r="T576"/>
  <c r="U576"/>
  <c r="T577"/>
  <c r="U577"/>
  <c r="T578"/>
  <c r="U578"/>
  <c r="T579"/>
  <c r="U579"/>
  <c r="T580"/>
  <c r="U580"/>
  <c r="T581"/>
  <c r="U581"/>
  <c r="T582"/>
  <c r="U582"/>
  <c r="T583"/>
  <c r="U583"/>
  <c r="T584"/>
  <c r="U584"/>
  <c r="T585"/>
  <c r="U585"/>
  <c r="T586"/>
  <c r="U586"/>
  <c r="T587"/>
  <c r="U587"/>
  <c r="T588"/>
  <c r="U588"/>
  <c r="T589"/>
  <c r="U589"/>
  <c r="T590"/>
  <c r="U590"/>
  <c r="T591"/>
  <c r="U591"/>
  <c r="T592"/>
  <c r="U592"/>
  <c r="T593"/>
  <c r="U593"/>
  <c r="T594"/>
  <c r="U594"/>
  <c r="T595"/>
  <c r="U595"/>
  <c r="T596"/>
  <c r="U596"/>
  <c r="T597"/>
  <c r="U597"/>
  <c r="T598"/>
  <c r="U598"/>
  <c r="T599"/>
  <c r="U599"/>
  <c r="T600"/>
  <c r="U600"/>
  <c r="T601"/>
  <c r="U601"/>
  <c r="T602"/>
  <c r="U602"/>
  <c r="T603"/>
  <c r="U603"/>
  <c r="T604"/>
  <c r="U604"/>
  <c r="T605"/>
  <c r="U605"/>
  <c r="T606"/>
  <c r="U606"/>
  <c r="T607"/>
  <c r="U607"/>
  <c r="T608"/>
  <c r="U608"/>
  <c r="T609"/>
  <c r="U609"/>
  <c r="T610"/>
  <c r="U610"/>
  <c r="T611"/>
  <c r="U611"/>
  <c r="T612"/>
  <c r="U612"/>
  <c r="T613"/>
  <c r="U613"/>
  <c r="T614"/>
  <c r="U614"/>
  <c r="T615"/>
  <c r="U615"/>
  <c r="T616"/>
  <c r="U616"/>
  <c r="T617"/>
  <c r="U617"/>
  <c r="T618"/>
  <c r="U618"/>
  <c r="T619"/>
  <c r="U619"/>
  <c r="T620"/>
  <c r="U620"/>
  <c r="T621"/>
  <c r="U621"/>
  <c r="T622"/>
  <c r="U622"/>
  <c r="T623"/>
  <c r="U623"/>
  <c r="T624"/>
  <c r="U624"/>
  <c r="T625"/>
  <c r="U625"/>
  <c r="T626"/>
  <c r="U626"/>
  <c r="T627"/>
  <c r="U627"/>
  <c r="T628"/>
  <c r="U628"/>
  <c r="T629"/>
  <c r="U629"/>
  <c r="T630"/>
  <c r="U630"/>
  <c r="T631"/>
  <c r="U631"/>
  <c r="T632"/>
  <c r="U632"/>
  <c r="T633"/>
  <c r="U633"/>
  <c r="T634"/>
  <c r="U634"/>
  <c r="T635"/>
  <c r="U635"/>
  <c r="T636"/>
  <c r="U636"/>
  <c r="T637"/>
  <c r="U637"/>
  <c r="T638"/>
  <c r="U638"/>
  <c r="T639"/>
  <c r="U639"/>
  <c r="T640"/>
  <c r="U640"/>
  <c r="T641"/>
  <c r="U641"/>
  <c r="T642"/>
  <c r="U642"/>
  <c r="T643"/>
  <c r="U643"/>
  <c r="T644"/>
  <c r="U644"/>
  <c r="T645"/>
  <c r="U645"/>
  <c r="T646"/>
  <c r="U646"/>
  <c r="T647"/>
  <c r="U647"/>
  <c r="T648"/>
  <c r="U648"/>
  <c r="T649"/>
  <c r="U649"/>
  <c r="T650"/>
  <c r="U650"/>
  <c r="T651"/>
  <c r="U651"/>
  <c r="T652"/>
  <c r="U652"/>
  <c r="T653"/>
  <c r="U653"/>
  <c r="T654"/>
  <c r="U654"/>
  <c r="T655"/>
  <c r="U655"/>
  <c r="T656"/>
  <c r="U656"/>
  <c r="T657"/>
  <c r="U657"/>
  <c r="T658"/>
  <c r="U658"/>
  <c r="T659"/>
  <c r="U659"/>
  <c r="T660"/>
  <c r="U660"/>
  <c r="T661"/>
  <c r="U661"/>
  <c r="T662"/>
  <c r="U662"/>
  <c r="T663"/>
  <c r="U663"/>
  <c r="T664"/>
  <c r="U664"/>
  <c r="T665"/>
  <c r="U665"/>
  <c r="T666"/>
  <c r="U666"/>
  <c r="T667"/>
  <c r="U667"/>
  <c r="T668"/>
  <c r="U668"/>
  <c r="T669"/>
  <c r="U669"/>
  <c r="T670"/>
  <c r="U670"/>
  <c r="T671"/>
  <c r="U671"/>
  <c r="T672"/>
  <c r="U672"/>
  <c r="T673"/>
  <c r="U673"/>
  <c r="T674"/>
  <c r="U674"/>
  <c r="T675"/>
  <c r="U675"/>
  <c r="T676"/>
  <c r="U676"/>
  <c r="T677"/>
  <c r="U677"/>
  <c r="T678"/>
  <c r="U678"/>
  <c r="T679"/>
  <c r="U679"/>
  <c r="T680"/>
  <c r="U680"/>
  <c r="F7"/>
  <c r="G7"/>
  <c r="F8"/>
  <c r="G8"/>
  <c r="F9"/>
  <c r="G9"/>
  <c r="F10"/>
  <c r="G10"/>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334"/>
  <c r="G334"/>
  <c r="F335"/>
  <c r="G335"/>
  <c r="F336"/>
  <c r="G336"/>
  <c r="F337"/>
  <c r="G337"/>
  <c r="F338"/>
  <c r="G338"/>
  <c r="F339"/>
  <c r="G339"/>
  <c r="F340"/>
  <c r="G340"/>
  <c r="F341"/>
  <c r="G341"/>
  <c r="F342"/>
  <c r="G342"/>
  <c r="F343"/>
  <c r="G343"/>
  <c r="F344"/>
  <c r="G344"/>
  <c r="F345"/>
  <c r="G345"/>
  <c r="F346"/>
  <c r="G346"/>
  <c r="F347"/>
  <c r="G347"/>
  <c r="F348"/>
  <c r="G348"/>
  <c r="F349"/>
  <c r="G349"/>
  <c r="F350"/>
  <c r="G350"/>
  <c r="F351"/>
  <c r="G351"/>
  <c r="F352"/>
  <c r="G352"/>
  <c r="F353"/>
  <c r="G353"/>
  <c r="F354"/>
  <c r="G354"/>
  <c r="F355"/>
  <c r="G355"/>
  <c r="F356"/>
  <c r="G356"/>
  <c r="F357"/>
  <c r="G357"/>
  <c r="F358"/>
  <c r="G358"/>
  <c r="F359"/>
  <c r="G359"/>
  <c r="F360"/>
  <c r="G360"/>
  <c r="F361"/>
  <c r="G361"/>
  <c r="F362"/>
  <c r="G362"/>
  <c r="F363"/>
  <c r="G363"/>
  <c r="F364"/>
  <c r="G364"/>
  <c r="F365"/>
  <c r="G365"/>
  <c r="F366"/>
  <c r="G366"/>
  <c r="F367"/>
  <c r="G367"/>
  <c r="F368"/>
  <c r="G368"/>
  <c r="F369"/>
  <c r="G369"/>
  <c r="F370"/>
  <c r="G370"/>
  <c r="F371"/>
  <c r="G371"/>
  <c r="F372"/>
  <c r="G372"/>
  <c r="F373"/>
  <c r="G373"/>
  <c r="F374"/>
  <c r="G374"/>
  <c r="F375"/>
  <c r="G375"/>
  <c r="F376"/>
  <c r="G376"/>
  <c r="F377"/>
  <c r="G377"/>
  <c r="F378"/>
  <c r="G378"/>
  <c r="F379"/>
  <c r="G379"/>
  <c r="F380"/>
  <c r="G380"/>
  <c r="F381"/>
  <c r="G381"/>
  <c r="F382"/>
  <c r="G382"/>
  <c r="F383"/>
  <c r="G383"/>
  <c r="F384"/>
  <c r="G384"/>
  <c r="F385"/>
  <c r="G385"/>
  <c r="F386"/>
  <c r="G386"/>
  <c r="F387"/>
  <c r="G387"/>
  <c r="F388"/>
  <c r="G388"/>
  <c r="F389"/>
  <c r="G389"/>
  <c r="F390"/>
  <c r="G390"/>
  <c r="F391"/>
  <c r="G391"/>
  <c r="F392"/>
  <c r="G392"/>
  <c r="F393"/>
  <c r="G393"/>
  <c r="F394"/>
  <c r="G394"/>
  <c r="F395"/>
  <c r="G395"/>
  <c r="F396"/>
  <c r="G396"/>
  <c r="F397"/>
  <c r="G397"/>
  <c r="F398"/>
  <c r="G398"/>
  <c r="F399"/>
  <c r="G399"/>
  <c r="F400"/>
  <c r="G400"/>
  <c r="F401"/>
  <c r="G401"/>
  <c r="F402"/>
  <c r="G402"/>
  <c r="F403"/>
  <c r="G403"/>
  <c r="F404"/>
  <c r="G404"/>
  <c r="F405"/>
  <c r="G405"/>
  <c r="F406"/>
  <c r="G406"/>
  <c r="F407"/>
  <c r="G407"/>
  <c r="F408"/>
  <c r="G408"/>
  <c r="F409"/>
  <c r="G409"/>
  <c r="F410"/>
  <c r="G410"/>
  <c r="F411"/>
  <c r="G411"/>
  <c r="F412"/>
  <c r="G412"/>
  <c r="F413"/>
  <c r="G413"/>
  <c r="F414"/>
  <c r="G414"/>
  <c r="F415"/>
  <c r="G415"/>
  <c r="F416"/>
  <c r="G416"/>
  <c r="F417"/>
  <c r="G417"/>
  <c r="F418"/>
  <c r="G418"/>
  <c r="F419"/>
  <c r="G419"/>
  <c r="F420"/>
  <c r="G420"/>
  <c r="F421"/>
  <c r="G421"/>
  <c r="F422"/>
  <c r="G422"/>
  <c r="F423"/>
  <c r="G423"/>
  <c r="F424"/>
  <c r="G424"/>
  <c r="F425"/>
  <c r="G425"/>
  <c r="F426"/>
  <c r="G426"/>
  <c r="F427"/>
  <c r="G427"/>
  <c r="F428"/>
  <c r="G428"/>
  <c r="F429"/>
  <c r="G429"/>
  <c r="F430"/>
  <c r="G430"/>
  <c r="F431"/>
  <c r="G431"/>
  <c r="F432"/>
  <c r="G432"/>
  <c r="F433"/>
  <c r="G433"/>
  <c r="F434"/>
  <c r="G434"/>
  <c r="F435"/>
  <c r="G435"/>
  <c r="F436"/>
  <c r="G436"/>
  <c r="F437"/>
  <c r="G437"/>
  <c r="F438"/>
  <c r="G438"/>
  <c r="F439"/>
  <c r="G439"/>
  <c r="F440"/>
  <c r="G440"/>
  <c r="F441"/>
  <c r="G441"/>
  <c r="F442"/>
  <c r="G442"/>
  <c r="F443"/>
  <c r="G443"/>
  <c r="F444"/>
  <c r="G444"/>
  <c r="F445"/>
  <c r="G445"/>
  <c r="F446"/>
  <c r="G446"/>
  <c r="F447"/>
  <c r="G447"/>
  <c r="F448"/>
  <c r="G448"/>
  <c r="F449"/>
  <c r="G449"/>
  <c r="F450"/>
  <c r="G450"/>
  <c r="F451"/>
  <c r="G451"/>
  <c r="F452"/>
  <c r="G452"/>
  <c r="F453"/>
  <c r="G453"/>
  <c r="F454"/>
  <c r="G454"/>
  <c r="F455"/>
  <c r="G455"/>
  <c r="F456"/>
  <c r="G456"/>
  <c r="F457"/>
  <c r="G457"/>
  <c r="F458"/>
  <c r="G458"/>
  <c r="F459"/>
  <c r="G459"/>
  <c r="F460"/>
  <c r="G460"/>
  <c r="F461"/>
  <c r="G461"/>
  <c r="F462"/>
  <c r="G462"/>
  <c r="F463"/>
  <c r="G463"/>
  <c r="F464"/>
  <c r="G464"/>
  <c r="F465"/>
  <c r="G465"/>
  <c r="F466"/>
  <c r="G466"/>
  <c r="F467"/>
  <c r="G467"/>
  <c r="F468"/>
  <c r="G468"/>
  <c r="F469"/>
  <c r="G469"/>
  <c r="F470"/>
  <c r="G470"/>
  <c r="F471"/>
  <c r="G471"/>
  <c r="F472"/>
  <c r="G472"/>
  <c r="F473"/>
  <c r="G473"/>
  <c r="F474"/>
  <c r="G474"/>
  <c r="F475"/>
  <c r="G475"/>
  <c r="F476"/>
  <c r="G476"/>
  <c r="F477"/>
  <c r="G477"/>
  <c r="F478"/>
  <c r="G478"/>
  <c r="F479"/>
  <c r="G479"/>
  <c r="F480"/>
  <c r="G480"/>
  <c r="F481"/>
  <c r="G481"/>
  <c r="F482"/>
  <c r="G482"/>
  <c r="F483"/>
  <c r="G483"/>
  <c r="F484"/>
  <c r="G484"/>
  <c r="F485"/>
  <c r="G485"/>
  <c r="F486"/>
  <c r="G486"/>
  <c r="F487"/>
  <c r="G487"/>
  <c r="F488"/>
  <c r="G488"/>
  <c r="F489"/>
  <c r="G489"/>
  <c r="F490"/>
  <c r="G490"/>
  <c r="F491"/>
  <c r="G491"/>
  <c r="F492"/>
  <c r="G492"/>
  <c r="F493"/>
  <c r="G493"/>
  <c r="F494"/>
  <c r="G494"/>
  <c r="F495"/>
  <c r="G495"/>
  <c r="F496"/>
  <c r="G496"/>
  <c r="F497"/>
  <c r="G497"/>
  <c r="F498"/>
  <c r="G498"/>
  <c r="F499"/>
  <c r="G499"/>
  <c r="F500"/>
  <c r="G500"/>
  <c r="F501"/>
  <c r="G501"/>
  <c r="F502"/>
  <c r="G502"/>
  <c r="F503"/>
  <c r="G503"/>
  <c r="F504"/>
  <c r="G504"/>
  <c r="F505"/>
  <c r="G505"/>
  <c r="F506"/>
  <c r="G506"/>
  <c r="F507"/>
  <c r="G507"/>
  <c r="F508"/>
  <c r="G508"/>
  <c r="F509"/>
  <c r="G509"/>
  <c r="F510"/>
  <c r="G510"/>
  <c r="F511"/>
  <c r="G511"/>
  <c r="F512"/>
  <c r="G512"/>
  <c r="F513"/>
  <c r="G513"/>
  <c r="F514"/>
  <c r="G514"/>
  <c r="F515"/>
  <c r="G515"/>
  <c r="F516"/>
  <c r="G516"/>
  <c r="F517"/>
  <c r="G517"/>
  <c r="F518"/>
  <c r="G518"/>
  <c r="F519"/>
  <c r="G519"/>
  <c r="F520"/>
  <c r="G520"/>
  <c r="F521"/>
  <c r="G521"/>
  <c r="F522"/>
  <c r="G522"/>
  <c r="F523"/>
  <c r="G523"/>
  <c r="F524"/>
  <c r="G524"/>
  <c r="F525"/>
  <c r="G525"/>
  <c r="F526"/>
  <c r="G526"/>
  <c r="F527"/>
  <c r="G527"/>
  <c r="F528"/>
  <c r="G528"/>
  <c r="F529"/>
  <c r="G529"/>
  <c r="F530"/>
  <c r="G530"/>
  <c r="F531"/>
  <c r="G531"/>
  <c r="F532"/>
  <c r="G532"/>
  <c r="F533"/>
  <c r="G533"/>
  <c r="F534"/>
  <c r="G534"/>
  <c r="F535"/>
  <c r="G535"/>
  <c r="F536"/>
  <c r="G536"/>
  <c r="F537"/>
  <c r="G537"/>
  <c r="F538"/>
  <c r="G538"/>
  <c r="F539"/>
  <c r="G539"/>
  <c r="F540"/>
  <c r="G540"/>
  <c r="F541"/>
  <c r="G541"/>
  <c r="F542"/>
  <c r="G542"/>
  <c r="F543"/>
  <c r="G543"/>
  <c r="F544"/>
  <c r="G544"/>
  <c r="F545"/>
  <c r="G545"/>
  <c r="F546"/>
  <c r="G546"/>
  <c r="F547"/>
  <c r="G547"/>
  <c r="F548"/>
  <c r="G548"/>
  <c r="F549"/>
  <c r="G549"/>
  <c r="F550"/>
  <c r="G550"/>
  <c r="F551"/>
  <c r="G551"/>
  <c r="F552"/>
  <c r="G552"/>
  <c r="F553"/>
  <c r="G553"/>
  <c r="F554"/>
  <c r="G554"/>
  <c r="F555"/>
  <c r="G555"/>
  <c r="F556"/>
  <c r="G556"/>
  <c r="F557"/>
  <c r="G557"/>
  <c r="F558"/>
  <c r="G558"/>
  <c r="F559"/>
  <c r="G559"/>
  <c r="F560"/>
  <c r="G560"/>
  <c r="F561"/>
  <c r="G561"/>
  <c r="F562"/>
  <c r="G562"/>
  <c r="F563"/>
  <c r="G563"/>
  <c r="F564"/>
  <c r="G564"/>
  <c r="F565"/>
  <c r="G565"/>
  <c r="F566"/>
  <c r="G566"/>
  <c r="F567"/>
  <c r="G567"/>
  <c r="F568"/>
  <c r="G568"/>
  <c r="F569"/>
  <c r="G569"/>
  <c r="F570"/>
  <c r="G570"/>
  <c r="F571"/>
  <c r="G571"/>
  <c r="F572"/>
  <c r="G572"/>
  <c r="F573"/>
  <c r="G573"/>
  <c r="F574"/>
  <c r="G574"/>
  <c r="F575"/>
  <c r="G575"/>
  <c r="F576"/>
  <c r="G576"/>
  <c r="F577"/>
  <c r="G577"/>
  <c r="F578"/>
  <c r="G578"/>
  <c r="F579"/>
  <c r="G579"/>
  <c r="F580"/>
  <c r="G580"/>
  <c r="F581"/>
  <c r="G581"/>
  <c r="F582"/>
  <c r="G582"/>
  <c r="F583"/>
  <c r="G583"/>
  <c r="F584"/>
  <c r="G584"/>
  <c r="F585"/>
  <c r="G585"/>
  <c r="F586"/>
  <c r="G586"/>
  <c r="F587"/>
  <c r="G587"/>
  <c r="F588"/>
  <c r="G588"/>
  <c r="F589"/>
  <c r="G589"/>
  <c r="F590"/>
  <c r="G590"/>
  <c r="F591"/>
  <c r="G591"/>
  <c r="F592"/>
  <c r="G592"/>
  <c r="F593"/>
  <c r="G593"/>
  <c r="F594"/>
  <c r="G594"/>
  <c r="F595"/>
  <c r="G595"/>
  <c r="F596"/>
  <c r="G596"/>
  <c r="F597"/>
  <c r="G597"/>
  <c r="F598"/>
  <c r="G598"/>
  <c r="F599"/>
  <c r="G599"/>
  <c r="F600"/>
  <c r="G600"/>
  <c r="F601"/>
  <c r="G601"/>
  <c r="F602"/>
  <c r="G602"/>
  <c r="F603"/>
  <c r="G603"/>
  <c r="F604"/>
  <c r="G604"/>
  <c r="F605"/>
  <c r="G605"/>
  <c r="F606"/>
  <c r="G606"/>
  <c r="F607"/>
  <c r="G607"/>
  <c r="F608"/>
  <c r="G608"/>
  <c r="F609"/>
  <c r="G609"/>
  <c r="F610"/>
  <c r="G610"/>
  <c r="F611"/>
  <c r="G611"/>
  <c r="F612"/>
  <c r="G612"/>
  <c r="F613"/>
  <c r="G613"/>
  <c r="F614"/>
  <c r="G614"/>
  <c r="F615"/>
  <c r="G615"/>
  <c r="F616"/>
  <c r="G616"/>
  <c r="F617"/>
  <c r="G617"/>
  <c r="F618"/>
  <c r="G618"/>
  <c r="F619"/>
  <c r="G619"/>
  <c r="F620"/>
  <c r="G620"/>
  <c r="F621"/>
  <c r="G621"/>
  <c r="F622"/>
  <c r="G622"/>
  <c r="F623"/>
  <c r="G623"/>
  <c r="F624"/>
  <c r="G624"/>
  <c r="F625"/>
  <c r="G625"/>
  <c r="F626"/>
  <c r="G626"/>
  <c r="F627"/>
  <c r="G627"/>
  <c r="F628"/>
  <c r="G628"/>
  <c r="F629"/>
  <c r="G629"/>
  <c r="F630"/>
  <c r="G630"/>
  <c r="F631"/>
  <c r="G631"/>
  <c r="F632"/>
  <c r="G632"/>
  <c r="F633"/>
  <c r="G633"/>
  <c r="F634"/>
  <c r="G634"/>
  <c r="F635"/>
  <c r="G635"/>
  <c r="F636"/>
  <c r="G636"/>
  <c r="F637"/>
  <c r="G637"/>
  <c r="F638"/>
  <c r="G638"/>
  <c r="F639"/>
  <c r="G639"/>
  <c r="F640"/>
  <c r="G640"/>
  <c r="F641"/>
  <c r="G641"/>
  <c r="F642"/>
  <c r="G642"/>
  <c r="F643"/>
  <c r="G643"/>
  <c r="F644"/>
  <c r="G644"/>
  <c r="F645"/>
  <c r="G645"/>
  <c r="F646"/>
  <c r="G646"/>
  <c r="F647"/>
  <c r="G647"/>
  <c r="F648"/>
  <c r="G648"/>
  <c r="F649"/>
  <c r="G649"/>
  <c r="F650"/>
  <c r="G650"/>
  <c r="F651"/>
  <c r="G651"/>
  <c r="F652"/>
  <c r="G652"/>
  <c r="F653"/>
  <c r="G653"/>
  <c r="F654"/>
  <c r="G654"/>
  <c r="F655"/>
  <c r="G655"/>
  <c r="F656"/>
  <c r="G656"/>
  <c r="F657"/>
  <c r="G657"/>
  <c r="F658"/>
  <c r="G658"/>
  <c r="F659"/>
  <c r="G659"/>
  <c r="F660"/>
  <c r="G660"/>
  <c r="F661"/>
  <c r="G661"/>
  <c r="F662"/>
  <c r="G662"/>
  <c r="F663"/>
  <c r="G663"/>
  <c r="F664"/>
  <c r="G664"/>
  <c r="F665"/>
  <c r="G665"/>
  <c r="F666"/>
  <c r="G666"/>
  <c r="F667"/>
  <c r="G667"/>
  <c r="F668"/>
  <c r="G668"/>
  <c r="F669"/>
  <c r="G669"/>
  <c r="F670"/>
  <c r="G670"/>
  <c r="F671"/>
  <c r="G671"/>
  <c r="F672"/>
  <c r="G672"/>
  <c r="F673"/>
  <c r="G673"/>
  <c r="F674"/>
  <c r="G674"/>
  <c r="F675"/>
  <c r="G675"/>
  <c r="F676"/>
  <c r="G676"/>
  <c r="F677"/>
  <c r="G677"/>
  <c r="F678"/>
  <c r="G678"/>
  <c r="F679"/>
  <c r="G679"/>
  <c r="F680"/>
  <c r="G680"/>
  <c r="M677" l="1"/>
  <c r="M674"/>
  <c r="M664"/>
  <c r="M663"/>
  <c r="AA661"/>
  <c r="M661"/>
  <c r="L176" l="1"/>
  <c r="H176"/>
  <c r="L161"/>
  <c r="H161"/>
  <c r="O76" l="1"/>
  <c r="O74"/>
  <c r="P73"/>
  <c r="O72"/>
  <c r="O71"/>
  <c r="O70"/>
  <c r="P69"/>
  <c r="O69"/>
  <c r="P68"/>
  <c r="O68"/>
  <c r="P67"/>
  <c r="O67"/>
  <c r="O66"/>
  <c r="O64"/>
  <c r="P63"/>
  <c r="O63"/>
  <c r="P62"/>
  <c r="O62"/>
  <c r="P61"/>
  <c r="O61"/>
  <c r="O60"/>
  <c r="P59"/>
  <c r="O59"/>
  <c r="Q58"/>
  <c r="P58"/>
  <c r="O58"/>
  <c r="P57"/>
  <c r="O57"/>
  <c r="O56"/>
  <c r="O55"/>
  <c r="P54"/>
  <c r="P53"/>
  <c r="O53"/>
  <c r="AC52"/>
  <c r="O52"/>
  <c r="AC51"/>
  <c r="P51"/>
  <c r="O51"/>
  <c r="O50"/>
  <c r="AD49"/>
  <c r="AC49"/>
  <c r="O49"/>
  <c r="AD48"/>
  <c r="AC47"/>
  <c r="O47"/>
  <c r="AE46"/>
  <c r="AD46"/>
  <c r="AC46"/>
  <c r="P46"/>
  <c r="O46"/>
  <c r="AC45"/>
  <c r="Q45"/>
  <c r="P45"/>
  <c r="O45"/>
  <c r="R31" l="1"/>
  <c r="M31"/>
  <c r="L31"/>
  <c r="U6"/>
  <c r="T6"/>
  <c r="G6"/>
  <c r="F6"/>
  <c r="H109" i="7" l="1"/>
  <c r="H104"/>
  <c r="H99"/>
  <c r="G109"/>
  <c r="G104"/>
  <c r="G99"/>
  <c r="F109"/>
  <c r="F104"/>
  <c r="F99"/>
  <c r="E109"/>
  <c r="E104"/>
  <c r="E99"/>
  <c r="D109"/>
  <c r="D104"/>
  <c r="D99"/>
  <c r="C109"/>
  <c r="C104"/>
  <c r="C99"/>
  <c r="B109"/>
  <c r="B104"/>
  <c r="B99"/>
  <c r="H80"/>
  <c r="H75"/>
  <c r="H70"/>
  <c r="G80"/>
  <c r="G75"/>
  <c r="G70"/>
  <c r="F80"/>
  <c r="F75"/>
  <c r="F70"/>
  <c r="E80"/>
  <c r="E75"/>
  <c r="E70"/>
  <c r="D80"/>
  <c r="D75"/>
  <c r="D70"/>
  <c r="C80"/>
  <c r="C75"/>
  <c r="C70"/>
  <c r="B80"/>
  <c r="B75"/>
  <c r="B70"/>
  <c r="P49"/>
  <c r="P44"/>
  <c r="P39"/>
  <c r="O49"/>
  <c r="O44"/>
  <c r="O39"/>
  <c r="N49"/>
  <c r="N44"/>
  <c r="N39"/>
  <c r="M49"/>
  <c r="M44"/>
  <c r="M39"/>
  <c r="L49"/>
  <c r="L44"/>
  <c r="L39"/>
  <c r="K49"/>
  <c r="K44"/>
  <c r="K39"/>
  <c r="J49"/>
  <c r="J44"/>
  <c r="J39"/>
  <c r="I49"/>
  <c r="I44"/>
  <c r="I39"/>
  <c r="H49"/>
  <c r="H44"/>
  <c r="H39"/>
  <c r="G49"/>
  <c r="G44"/>
  <c r="G39"/>
  <c r="F49"/>
  <c r="F44"/>
  <c r="F39"/>
  <c r="E49"/>
  <c r="E44"/>
  <c r="E39"/>
  <c r="D49"/>
  <c r="D44"/>
  <c r="D39"/>
  <c r="C49"/>
  <c r="C44"/>
  <c r="C39"/>
  <c r="B49"/>
  <c r="B44"/>
  <c r="B39"/>
  <c r="P21"/>
  <c r="P16"/>
  <c r="P11"/>
  <c r="H398" i="8"/>
  <c r="G398"/>
  <c r="F398"/>
  <c r="E398"/>
  <c r="C398"/>
  <c r="B398"/>
  <c r="H397"/>
  <c r="G397"/>
  <c r="F397"/>
  <c r="E397"/>
  <c r="C397"/>
  <c r="B397"/>
  <c r="H396"/>
  <c r="G396"/>
  <c r="F396"/>
  <c r="E396"/>
  <c r="C396"/>
  <c r="B396"/>
  <c r="P23" i="7" s="1"/>
  <c r="H395" i="8"/>
  <c r="G395"/>
  <c r="F395"/>
  <c r="E395"/>
  <c r="C395"/>
  <c r="B395"/>
  <c r="P22" i="7" s="1"/>
  <c r="H393" i="8"/>
  <c r="G393"/>
  <c r="F393"/>
  <c r="E393"/>
  <c r="C393"/>
  <c r="B393"/>
  <c r="P20" i="7" s="1"/>
  <c r="H392" i="8"/>
  <c r="G392"/>
  <c r="F392"/>
  <c r="E392"/>
  <c r="C392"/>
  <c r="B392"/>
  <c r="P19" i="7" s="1"/>
  <c r="H391" i="8"/>
  <c r="G391"/>
  <c r="F391"/>
  <c r="E391"/>
  <c r="C391"/>
  <c r="B391"/>
  <c r="H390"/>
  <c r="G390"/>
  <c r="F390"/>
  <c r="E390"/>
  <c r="C390"/>
  <c r="B390"/>
  <c r="H388"/>
  <c r="G388"/>
  <c r="F388"/>
  <c r="E388"/>
  <c r="C388"/>
  <c r="B388"/>
  <c r="H387"/>
  <c r="G387"/>
  <c r="F387"/>
  <c r="E387"/>
  <c r="C387"/>
  <c r="B387"/>
  <c r="H386"/>
  <c r="G386"/>
  <c r="F386"/>
  <c r="E386"/>
  <c r="C386"/>
  <c r="B386"/>
  <c r="H385"/>
  <c r="G385"/>
  <c r="F385"/>
  <c r="E385"/>
  <c r="C385"/>
  <c r="B385"/>
  <c r="H383"/>
  <c r="G383"/>
  <c r="F383"/>
  <c r="E383"/>
  <c r="C383"/>
  <c r="B383"/>
  <c r="H382"/>
  <c r="G382"/>
  <c r="F382"/>
  <c r="E382"/>
  <c r="C382"/>
  <c r="B382"/>
  <c r="H381"/>
  <c r="G381"/>
  <c r="F381"/>
  <c r="E381"/>
  <c r="C381"/>
  <c r="B381"/>
  <c r="H380"/>
  <c r="G380"/>
  <c r="F380"/>
  <c r="E380"/>
  <c r="C380"/>
  <c r="B380"/>
  <c r="D398"/>
  <c r="P53" i="7" s="1"/>
  <c r="D397" i="8"/>
  <c r="P52" i="7" s="1"/>
  <c r="D396" i="8"/>
  <c r="P51" i="7" s="1"/>
  <c r="D395" i="8"/>
  <c r="P50" i="7" s="1"/>
  <c r="D393" i="8"/>
  <c r="P48" i="7" s="1"/>
  <c r="D392" i="8"/>
  <c r="Q392" s="1"/>
  <c r="D391"/>
  <c r="P46" i="7" s="1"/>
  <c r="D388" i="8"/>
  <c r="P43" i="7" s="1"/>
  <c r="O21"/>
  <c r="O16"/>
  <c r="O11"/>
  <c r="N21"/>
  <c r="N16"/>
  <c r="N11"/>
  <c r="M21"/>
  <c r="M16"/>
  <c r="M11"/>
  <c r="L21"/>
  <c r="L16"/>
  <c r="L11"/>
  <c r="K21"/>
  <c r="K16"/>
  <c r="K11"/>
  <c r="J21"/>
  <c r="J16"/>
  <c r="J11"/>
  <c r="I21"/>
  <c r="I16"/>
  <c r="I11"/>
  <c r="H21"/>
  <c r="H16"/>
  <c r="H11"/>
  <c r="G21"/>
  <c r="G16"/>
  <c r="G11"/>
  <c r="F21"/>
  <c r="F16"/>
  <c r="F11"/>
  <c r="E21"/>
  <c r="E16"/>
  <c r="E11"/>
  <c r="D21"/>
  <c r="D16"/>
  <c r="D11"/>
  <c r="C21"/>
  <c r="C16"/>
  <c r="C11"/>
  <c r="B21"/>
  <c r="B16"/>
  <c r="B11"/>
  <c r="H458" i="8"/>
  <c r="G458"/>
  <c r="F458"/>
  <c r="E458"/>
  <c r="C458"/>
  <c r="B458"/>
  <c r="H457"/>
  <c r="G457"/>
  <c r="F457"/>
  <c r="E457"/>
  <c r="C457"/>
  <c r="B457"/>
  <c r="H456"/>
  <c r="G456"/>
  <c r="F456"/>
  <c r="E456"/>
  <c r="C456"/>
  <c r="B456"/>
  <c r="H455"/>
  <c r="G455"/>
  <c r="F455"/>
  <c r="E455"/>
  <c r="C455"/>
  <c r="B455"/>
  <c r="H453"/>
  <c r="G453"/>
  <c r="F453"/>
  <c r="E453"/>
  <c r="C453"/>
  <c r="B453"/>
  <c r="H452"/>
  <c r="G452"/>
  <c r="F452"/>
  <c r="E452"/>
  <c r="C452"/>
  <c r="B452"/>
  <c r="H451"/>
  <c r="G451"/>
  <c r="F451"/>
  <c r="E451"/>
  <c r="C451"/>
  <c r="B451"/>
  <c r="H450"/>
  <c r="G450"/>
  <c r="F450"/>
  <c r="E450"/>
  <c r="C450"/>
  <c r="B450"/>
  <c r="H448"/>
  <c r="G448"/>
  <c r="F448"/>
  <c r="E448"/>
  <c r="C448"/>
  <c r="B448"/>
  <c r="H447"/>
  <c r="G447"/>
  <c r="F447"/>
  <c r="E447"/>
  <c r="C447"/>
  <c r="B447"/>
  <c r="H446"/>
  <c r="G446"/>
  <c r="F446"/>
  <c r="E446"/>
  <c r="C446"/>
  <c r="B446"/>
  <c r="H445"/>
  <c r="G445"/>
  <c r="F445"/>
  <c r="E445"/>
  <c r="C445"/>
  <c r="B445"/>
  <c r="H443"/>
  <c r="G443"/>
  <c r="F443"/>
  <c r="E443"/>
  <c r="C443"/>
  <c r="B443"/>
  <c r="H442"/>
  <c r="G442"/>
  <c r="F442"/>
  <c r="E442"/>
  <c r="C442"/>
  <c r="B442"/>
  <c r="H441"/>
  <c r="G441"/>
  <c r="F441"/>
  <c r="E441"/>
  <c r="C441"/>
  <c r="B441"/>
  <c r="H440"/>
  <c r="G440"/>
  <c r="F440"/>
  <c r="E440"/>
  <c r="C440"/>
  <c r="B440"/>
  <c r="H428"/>
  <c r="G428"/>
  <c r="F428"/>
  <c r="E428"/>
  <c r="C428"/>
  <c r="B428"/>
  <c r="H427"/>
  <c r="G427"/>
  <c r="F427"/>
  <c r="E427"/>
  <c r="C427"/>
  <c r="B427"/>
  <c r="H426"/>
  <c r="G426"/>
  <c r="F426"/>
  <c r="E426"/>
  <c r="C426"/>
  <c r="B426"/>
  <c r="H425"/>
  <c r="G425"/>
  <c r="F425"/>
  <c r="E425"/>
  <c r="C425"/>
  <c r="B425"/>
  <c r="H423"/>
  <c r="G423"/>
  <c r="F423"/>
  <c r="E423"/>
  <c r="C423"/>
  <c r="B423"/>
  <c r="H422"/>
  <c r="G422"/>
  <c r="F422"/>
  <c r="E422"/>
  <c r="C422"/>
  <c r="B422"/>
  <c r="H421"/>
  <c r="G421"/>
  <c r="F421"/>
  <c r="E421"/>
  <c r="C421"/>
  <c r="B421"/>
  <c r="H420"/>
  <c r="G420"/>
  <c r="F420"/>
  <c r="E420"/>
  <c r="C420"/>
  <c r="B420"/>
  <c r="H418"/>
  <c r="G418"/>
  <c r="F418"/>
  <c r="E418"/>
  <c r="C418"/>
  <c r="B418"/>
  <c r="H417"/>
  <c r="G417"/>
  <c r="F417"/>
  <c r="E417"/>
  <c r="C417"/>
  <c r="B417"/>
  <c r="H416"/>
  <c r="G416"/>
  <c r="F416"/>
  <c r="E416"/>
  <c r="C416"/>
  <c r="B416"/>
  <c r="H415"/>
  <c r="G415"/>
  <c r="F415"/>
  <c r="E415"/>
  <c r="C415"/>
  <c r="B415"/>
  <c r="H413"/>
  <c r="G413"/>
  <c r="F413"/>
  <c r="E413"/>
  <c r="C413"/>
  <c r="B413"/>
  <c r="H412"/>
  <c r="G412"/>
  <c r="F412"/>
  <c r="E412"/>
  <c r="C412"/>
  <c r="B412"/>
  <c r="H411"/>
  <c r="G411"/>
  <c r="F411"/>
  <c r="E411"/>
  <c r="C411"/>
  <c r="B411"/>
  <c r="H410"/>
  <c r="G410"/>
  <c r="F410"/>
  <c r="E410"/>
  <c r="C410"/>
  <c r="B410"/>
  <c r="H367"/>
  <c r="G367"/>
  <c r="F367"/>
  <c r="E367"/>
  <c r="C367"/>
  <c r="B367"/>
  <c r="H366"/>
  <c r="G366"/>
  <c r="F366"/>
  <c r="E366"/>
  <c r="C366"/>
  <c r="B366"/>
  <c r="H365"/>
  <c r="G365"/>
  <c r="F365"/>
  <c r="E365"/>
  <c r="C365"/>
  <c r="B365"/>
  <c r="H364"/>
  <c r="G364"/>
  <c r="F364"/>
  <c r="E364"/>
  <c r="C364"/>
  <c r="B364"/>
  <c r="H362"/>
  <c r="G362"/>
  <c r="F362"/>
  <c r="E362"/>
  <c r="C362"/>
  <c r="B362"/>
  <c r="H361"/>
  <c r="G361"/>
  <c r="F361"/>
  <c r="E361"/>
  <c r="C361"/>
  <c r="B361"/>
  <c r="H360"/>
  <c r="G360"/>
  <c r="F360"/>
  <c r="E360"/>
  <c r="C360"/>
  <c r="B360"/>
  <c r="H359"/>
  <c r="G359"/>
  <c r="F359"/>
  <c r="E359"/>
  <c r="C359"/>
  <c r="B359"/>
  <c r="H357"/>
  <c r="G357"/>
  <c r="F357"/>
  <c r="E357"/>
  <c r="C357"/>
  <c r="B357"/>
  <c r="H356"/>
  <c r="G356"/>
  <c r="F356"/>
  <c r="E356"/>
  <c r="C356"/>
  <c r="B356"/>
  <c r="H355"/>
  <c r="G355"/>
  <c r="F355"/>
  <c r="E355"/>
  <c r="C355"/>
  <c r="B355"/>
  <c r="H354"/>
  <c r="G354"/>
  <c r="F354"/>
  <c r="E354"/>
  <c r="C354"/>
  <c r="B354"/>
  <c r="H352"/>
  <c r="G352"/>
  <c r="F352"/>
  <c r="E352"/>
  <c r="C352"/>
  <c r="B352"/>
  <c r="H351"/>
  <c r="G351"/>
  <c r="F351"/>
  <c r="E351"/>
  <c r="C351"/>
  <c r="B351"/>
  <c r="H350"/>
  <c r="G350"/>
  <c r="F350"/>
  <c r="E350"/>
  <c r="C350"/>
  <c r="B350"/>
  <c r="H349"/>
  <c r="G349"/>
  <c r="F349"/>
  <c r="E349"/>
  <c r="C349"/>
  <c r="B349"/>
  <c r="H337"/>
  <c r="G337"/>
  <c r="F337"/>
  <c r="E337"/>
  <c r="C337"/>
  <c r="B337"/>
  <c r="H336"/>
  <c r="G336"/>
  <c r="F336"/>
  <c r="E336"/>
  <c r="C336"/>
  <c r="B336"/>
  <c r="H335"/>
  <c r="G335"/>
  <c r="F335"/>
  <c r="E335"/>
  <c r="C335"/>
  <c r="B335"/>
  <c r="H334"/>
  <c r="G334"/>
  <c r="F334"/>
  <c r="E334"/>
  <c r="C334"/>
  <c r="B334"/>
  <c r="H332"/>
  <c r="G332"/>
  <c r="F332"/>
  <c r="E332"/>
  <c r="C332"/>
  <c r="B332"/>
  <c r="H331"/>
  <c r="G331"/>
  <c r="F331"/>
  <c r="E331"/>
  <c r="C331"/>
  <c r="B331"/>
  <c r="H330"/>
  <c r="G330"/>
  <c r="F330"/>
  <c r="E330"/>
  <c r="C330"/>
  <c r="B330"/>
  <c r="H329"/>
  <c r="G329"/>
  <c r="F329"/>
  <c r="E329"/>
  <c r="C329"/>
  <c r="B329"/>
  <c r="H327"/>
  <c r="G327"/>
  <c r="F327"/>
  <c r="E327"/>
  <c r="C327"/>
  <c r="B327"/>
  <c r="H326"/>
  <c r="G326"/>
  <c r="F326"/>
  <c r="E326"/>
  <c r="C326"/>
  <c r="B326"/>
  <c r="H325"/>
  <c r="G325"/>
  <c r="F325"/>
  <c r="E325"/>
  <c r="C325"/>
  <c r="B325"/>
  <c r="H324"/>
  <c r="G324"/>
  <c r="F324"/>
  <c r="E324"/>
  <c r="C324"/>
  <c r="B324"/>
  <c r="H322"/>
  <c r="G322"/>
  <c r="F322"/>
  <c r="E322"/>
  <c r="C322"/>
  <c r="B322"/>
  <c r="H321"/>
  <c r="G321"/>
  <c r="F321"/>
  <c r="E321"/>
  <c r="C321"/>
  <c r="B321"/>
  <c r="H320"/>
  <c r="G320"/>
  <c r="F320"/>
  <c r="E320"/>
  <c r="C320"/>
  <c r="B320"/>
  <c r="H319"/>
  <c r="G319"/>
  <c r="F319"/>
  <c r="E319"/>
  <c r="C319"/>
  <c r="B319"/>
  <c r="H306"/>
  <c r="G306"/>
  <c r="F306"/>
  <c r="E306"/>
  <c r="C306"/>
  <c r="B306"/>
  <c r="H305"/>
  <c r="G305"/>
  <c r="F305"/>
  <c r="E305"/>
  <c r="C305"/>
  <c r="B305"/>
  <c r="H304"/>
  <c r="G304"/>
  <c r="F304"/>
  <c r="E304"/>
  <c r="C304"/>
  <c r="B304"/>
  <c r="H303"/>
  <c r="G303"/>
  <c r="F303"/>
  <c r="E303"/>
  <c r="C303"/>
  <c r="B303"/>
  <c r="H301"/>
  <c r="G301"/>
  <c r="F301"/>
  <c r="E301"/>
  <c r="C301"/>
  <c r="B301"/>
  <c r="H300"/>
  <c r="G300"/>
  <c r="F300"/>
  <c r="E300"/>
  <c r="C300"/>
  <c r="B300"/>
  <c r="H299"/>
  <c r="G299"/>
  <c r="F299"/>
  <c r="E299"/>
  <c r="C299"/>
  <c r="B299"/>
  <c r="H298"/>
  <c r="G298"/>
  <c r="F298"/>
  <c r="E298"/>
  <c r="C298"/>
  <c r="B298"/>
  <c r="H296"/>
  <c r="G296"/>
  <c r="F296"/>
  <c r="E296"/>
  <c r="C296"/>
  <c r="B296"/>
  <c r="H295"/>
  <c r="G295"/>
  <c r="F295"/>
  <c r="E295"/>
  <c r="C295"/>
  <c r="B295"/>
  <c r="H294"/>
  <c r="G294"/>
  <c r="F294"/>
  <c r="E294"/>
  <c r="C294"/>
  <c r="B294"/>
  <c r="H293"/>
  <c r="G293"/>
  <c r="F293"/>
  <c r="E293"/>
  <c r="C293"/>
  <c r="B293"/>
  <c r="H291"/>
  <c r="G291"/>
  <c r="F291"/>
  <c r="E291"/>
  <c r="C291"/>
  <c r="B291"/>
  <c r="H290"/>
  <c r="G290"/>
  <c r="F290"/>
  <c r="E290"/>
  <c r="C290"/>
  <c r="B290"/>
  <c r="H289"/>
  <c r="G289"/>
  <c r="F289"/>
  <c r="E289"/>
  <c r="C289"/>
  <c r="B289"/>
  <c r="H288"/>
  <c r="G288"/>
  <c r="F288"/>
  <c r="E288"/>
  <c r="C288"/>
  <c r="B288"/>
  <c r="H275"/>
  <c r="G275"/>
  <c r="F275"/>
  <c r="E275"/>
  <c r="C275"/>
  <c r="B275"/>
  <c r="H274"/>
  <c r="G274"/>
  <c r="F274"/>
  <c r="E274"/>
  <c r="C274"/>
  <c r="B274"/>
  <c r="H273"/>
  <c r="G273"/>
  <c r="F273"/>
  <c r="E273"/>
  <c r="C273"/>
  <c r="B273"/>
  <c r="H272"/>
  <c r="G272"/>
  <c r="F272"/>
  <c r="E272"/>
  <c r="C272"/>
  <c r="B272"/>
  <c r="H270"/>
  <c r="G270"/>
  <c r="F270"/>
  <c r="E270"/>
  <c r="C270"/>
  <c r="B270"/>
  <c r="H269"/>
  <c r="G269"/>
  <c r="F269"/>
  <c r="E269"/>
  <c r="C269"/>
  <c r="B269"/>
  <c r="H268"/>
  <c r="G268"/>
  <c r="F268"/>
  <c r="E268"/>
  <c r="C268"/>
  <c r="B268"/>
  <c r="H267"/>
  <c r="G267"/>
  <c r="F267"/>
  <c r="E267"/>
  <c r="C267"/>
  <c r="B267"/>
  <c r="H265"/>
  <c r="G265"/>
  <c r="F265"/>
  <c r="E265"/>
  <c r="C265"/>
  <c r="B265"/>
  <c r="H264"/>
  <c r="G264"/>
  <c r="F264"/>
  <c r="E264"/>
  <c r="C264"/>
  <c r="B264"/>
  <c r="H263"/>
  <c r="G263"/>
  <c r="F263"/>
  <c r="E263"/>
  <c r="C263"/>
  <c r="B263"/>
  <c r="H262"/>
  <c r="G262"/>
  <c r="F262"/>
  <c r="E262"/>
  <c r="C262"/>
  <c r="B262"/>
  <c r="H260"/>
  <c r="G260"/>
  <c r="F260"/>
  <c r="E260"/>
  <c r="C260"/>
  <c r="B260"/>
  <c r="H259"/>
  <c r="G259"/>
  <c r="F259"/>
  <c r="E259"/>
  <c r="C259"/>
  <c r="B259"/>
  <c r="H258"/>
  <c r="G258"/>
  <c r="F258"/>
  <c r="E258"/>
  <c r="C258"/>
  <c r="B258"/>
  <c r="H257"/>
  <c r="G257"/>
  <c r="F257"/>
  <c r="E257"/>
  <c r="C257"/>
  <c r="B257"/>
  <c r="H244"/>
  <c r="G244"/>
  <c r="F244"/>
  <c r="E244"/>
  <c r="C244"/>
  <c r="B244"/>
  <c r="H243"/>
  <c r="G243"/>
  <c r="F243"/>
  <c r="E243"/>
  <c r="C243"/>
  <c r="B243"/>
  <c r="H242"/>
  <c r="G242"/>
  <c r="F242"/>
  <c r="E242"/>
  <c r="C242"/>
  <c r="B242"/>
  <c r="H241"/>
  <c r="G241"/>
  <c r="F241"/>
  <c r="E241"/>
  <c r="C241"/>
  <c r="B241"/>
  <c r="H239"/>
  <c r="G239"/>
  <c r="F239"/>
  <c r="E239"/>
  <c r="C239"/>
  <c r="B239"/>
  <c r="H238"/>
  <c r="G238"/>
  <c r="F238"/>
  <c r="E238"/>
  <c r="C238"/>
  <c r="B238"/>
  <c r="H237"/>
  <c r="G237"/>
  <c r="F237"/>
  <c r="E237"/>
  <c r="C237"/>
  <c r="B237"/>
  <c r="H236"/>
  <c r="G236"/>
  <c r="F236"/>
  <c r="E236"/>
  <c r="C236"/>
  <c r="B236"/>
  <c r="H234"/>
  <c r="G234"/>
  <c r="F234"/>
  <c r="E234"/>
  <c r="C234"/>
  <c r="B234"/>
  <c r="H233"/>
  <c r="G233"/>
  <c r="F233"/>
  <c r="E233"/>
  <c r="C233"/>
  <c r="B233"/>
  <c r="H232"/>
  <c r="G232"/>
  <c r="F232"/>
  <c r="E232"/>
  <c r="C232"/>
  <c r="B232"/>
  <c r="H231"/>
  <c r="G231"/>
  <c r="F231"/>
  <c r="E231"/>
  <c r="C231"/>
  <c r="B231"/>
  <c r="H229"/>
  <c r="G229"/>
  <c r="F229"/>
  <c r="E229"/>
  <c r="C229"/>
  <c r="B229"/>
  <c r="H228"/>
  <c r="G228"/>
  <c r="F228"/>
  <c r="E228"/>
  <c r="C228"/>
  <c r="B228"/>
  <c r="H227"/>
  <c r="G227"/>
  <c r="F227"/>
  <c r="E227"/>
  <c r="C227"/>
  <c r="B227"/>
  <c r="H226"/>
  <c r="G226"/>
  <c r="F226"/>
  <c r="E226"/>
  <c r="C226"/>
  <c r="B226"/>
  <c r="P213"/>
  <c r="O213"/>
  <c r="N213"/>
  <c r="M213"/>
  <c r="K213"/>
  <c r="J213"/>
  <c r="H213"/>
  <c r="G213"/>
  <c r="F213"/>
  <c r="E213"/>
  <c r="C213"/>
  <c r="B213"/>
  <c r="P212"/>
  <c r="O212"/>
  <c r="N212"/>
  <c r="M212"/>
  <c r="K212"/>
  <c r="J212"/>
  <c r="H212"/>
  <c r="G212"/>
  <c r="F212"/>
  <c r="E212"/>
  <c r="C212"/>
  <c r="B212"/>
  <c r="P211"/>
  <c r="O211"/>
  <c r="N211"/>
  <c r="M211"/>
  <c r="K211"/>
  <c r="J211"/>
  <c r="H211"/>
  <c r="G211"/>
  <c r="F211"/>
  <c r="E211"/>
  <c r="C211"/>
  <c r="B211"/>
  <c r="P210"/>
  <c r="O210"/>
  <c r="N210"/>
  <c r="M210"/>
  <c r="K210"/>
  <c r="J210"/>
  <c r="H210"/>
  <c r="G210"/>
  <c r="F210"/>
  <c r="E210"/>
  <c r="C210"/>
  <c r="B210"/>
  <c r="P208"/>
  <c r="O208"/>
  <c r="N208"/>
  <c r="M208"/>
  <c r="K208"/>
  <c r="J208"/>
  <c r="H208"/>
  <c r="G208"/>
  <c r="F208"/>
  <c r="E208"/>
  <c r="C208"/>
  <c r="B208"/>
  <c r="P207"/>
  <c r="O207"/>
  <c r="N207"/>
  <c r="M207"/>
  <c r="K207"/>
  <c r="J207"/>
  <c r="H207"/>
  <c r="G207"/>
  <c r="F207"/>
  <c r="E207"/>
  <c r="C207"/>
  <c r="B207"/>
  <c r="P206"/>
  <c r="O206"/>
  <c r="N206"/>
  <c r="M206"/>
  <c r="K206"/>
  <c r="J206"/>
  <c r="H206"/>
  <c r="G206"/>
  <c r="F206"/>
  <c r="E206"/>
  <c r="C206"/>
  <c r="B206"/>
  <c r="P205"/>
  <c r="O205"/>
  <c r="N205"/>
  <c r="M205"/>
  <c r="K205"/>
  <c r="J205"/>
  <c r="H205"/>
  <c r="G205"/>
  <c r="F205"/>
  <c r="E205"/>
  <c r="C205"/>
  <c r="B205"/>
  <c r="P203"/>
  <c r="O203"/>
  <c r="N203"/>
  <c r="M203"/>
  <c r="K203"/>
  <c r="J203"/>
  <c r="H203"/>
  <c r="G203"/>
  <c r="F203"/>
  <c r="E203"/>
  <c r="C203"/>
  <c r="B203"/>
  <c r="P202"/>
  <c r="O202"/>
  <c r="N202"/>
  <c r="M202"/>
  <c r="K202"/>
  <c r="J202"/>
  <c r="H202"/>
  <c r="G202"/>
  <c r="F202"/>
  <c r="E202"/>
  <c r="C202"/>
  <c r="B202"/>
  <c r="P201"/>
  <c r="O201"/>
  <c r="N201"/>
  <c r="M201"/>
  <c r="K201"/>
  <c r="J201"/>
  <c r="H201"/>
  <c r="G201"/>
  <c r="F201"/>
  <c r="E201"/>
  <c r="C201"/>
  <c r="B201"/>
  <c r="P200"/>
  <c r="O200"/>
  <c r="N200"/>
  <c r="M200"/>
  <c r="K200"/>
  <c r="J200"/>
  <c r="H200"/>
  <c r="G200"/>
  <c r="F200"/>
  <c r="E200"/>
  <c r="C200"/>
  <c r="B200"/>
  <c r="P198"/>
  <c r="O198"/>
  <c r="N198"/>
  <c r="M198"/>
  <c r="K198"/>
  <c r="J198"/>
  <c r="H198"/>
  <c r="G198"/>
  <c r="F198"/>
  <c r="E198"/>
  <c r="C198"/>
  <c r="B198"/>
  <c r="P197"/>
  <c r="O197"/>
  <c r="N197"/>
  <c r="M197"/>
  <c r="K197"/>
  <c r="J197"/>
  <c r="H197"/>
  <c r="G197"/>
  <c r="F197"/>
  <c r="E197"/>
  <c r="C197"/>
  <c r="B197"/>
  <c r="P196"/>
  <c r="O196"/>
  <c r="N196"/>
  <c r="M196"/>
  <c r="K196"/>
  <c r="J196"/>
  <c r="H196"/>
  <c r="G196"/>
  <c r="F196"/>
  <c r="E196"/>
  <c r="C196"/>
  <c r="B196"/>
  <c r="P195"/>
  <c r="O195"/>
  <c r="N195"/>
  <c r="M195"/>
  <c r="K195"/>
  <c r="J195"/>
  <c r="H195"/>
  <c r="G195"/>
  <c r="F195"/>
  <c r="E195"/>
  <c r="C195"/>
  <c r="B195"/>
  <c r="P182"/>
  <c r="O182"/>
  <c r="N182"/>
  <c r="M182"/>
  <c r="K182"/>
  <c r="J182"/>
  <c r="H182"/>
  <c r="G182"/>
  <c r="F182"/>
  <c r="E182"/>
  <c r="C182"/>
  <c r="B182"/>
  <c r="P181"/>
  <c r="O181"/>
  <c r="N181"/>
  <c r="M181"/>
  <c r="K181"/>
  <c r="J181"/>
  <c r="H181"/>
  <c r="G181"/>
  <c r="F181"/>
  <c r="E181"/>
  <c r="C181"/>
  <c r="B181"/>
  <c r="P180"/>
  <c r="O180"/>
  <c r="N180"/>
  <c r="M180"/>
  <c r="K180"/>
  <c r="J180"/>
  <c r="H180"/>
  <c r="G180"/>
  <c r="F180"/>
  <c r="E180"/>
  <c r="C180"/>
  <c r="B180"/>
  <c r="P179"/>
  <c r="O179"/>
  <c r="N179"/>
  <c r="M179"/>
  <c r="K179"/>
  <c r="J179"/>
  <c r="H179"/>
  <c r="G179"/>
  <c r="F179"/>
  <c r="E179"/>
  <c r="C179"/>
  <c r="B179"/>
  <c r="P177"/>
  <c r="O177"/>
  <c r="N177"/>
  <c r="M177"/>
  <c r="K177"/>
  <c r="J177"/>
  <c r="H177"/>
  <c r="G177"/>
  <c r="F177"/>
  <c r="E177"/>
  <c r="C177"/>
  <c r="B177"/>
  <c r="P176"/>
  <c r="O176"/>
  <c r="N176"/>
  <c r="M176"/>
  <c r="K176"/>
  <c r="J176"/>
  <c r="H176"/>
  <c r="G176"/>
  <c r="F176"/>
  <c r="E176"/>
  <c r="C176"/>
  <c r="B176"/>
  <c r="P175"/>
  <c r="O175"/>
  <c r="N175"/>
  <c r="M175"/>
  <c r="K175"/>
  <c r="J175"/>
  <c r="H175"/>
  <c r="G175"/>
  <c r="F175"/>
  <c r="E175"/>
  <c r="C175"/>
  <c r="B175"/>
  <c r="P174"/>
  <c r="O174"/>
  <c r="N174"/>
  <c r="M174"/>
  <c r="K174"/>
  <c r="J174"/>
  <c r="H174"/>
  <c r="G174"/>
  <c r="F174"/>
  <c r="E174"/>
  <c r="C174"/>
  <c r="B174"/>
  <c r="P172"/>
  <c r="O172"/>
  <c r="N172"/>
  <c r="M172"/>
  <c r="K172"/>
  <c r="J172"/>
  <c r="H172"/>
  <c r="G172"/>
  <c r="F172"/>
  <c r="E172"/>
  <c r="C172"/>
  <c r="B172"/>
  <c r="P171"/>
  <c r="O171"/>
  <c r="N171"/>
  <c r="M171"/>
  <c r="K171"/>
  <c r="J171"/>
  <c r="H171"/>
  <c r="G171"/>
  <c r="F171"/>
  <c r="E171"/>
  <c r="C171"/>
  <c r="B171"/>
  <c r="P170"/>
  <c r="O170"/>
  <c r="N170"/>
  <c r="M170"/>
  <c r="K170"/>
  <c r="J170"/>
  <c r="H170"/>
  <c r="G170"/>
  <c r="F170"/>
  <c r="E170"/>
  <c r="C170"/>
  <c r="B170"/>
  <c r="P169"/>
  <c r="O169"/>
  <c r="N169"/>
  <c r="M169"/>
  <c r="K169"/>
  <c r="J169"/>
  <c r="H169"/>
  <c r="G169"/>
  <c r="F169"/>
  <c r="E169"/>
  <c r="C169"/>
  <c r="B169"/>
  <c r="P167"/>
  <c r="O167"/>
  <c r="N167"/>
  <c r="M167"/>
  <c r="K167"/>
  <c r="J167"/>
  <c r="H167"/>
  <c r="G167"/>
  <c r="F167"/>
  <c r="E167"/>
  <c r="C167"/>
  <c r="B167"/>
  <c r="P166"/>
  <c r="O166"/>
  <c r="N166"/>
  <c r="M166"/>
  <c r="K166"/>
  <c r="J166"/>
  <c r="H166"/>
  <c r="G166"/>
  <c r="F166"/>
  <c r="E166"/>
  <c r="C166"/>
  <c r="B166"/>
  <c r="P165"/>
  <c r="O165"/>
  <c r="N165"/>
  <c r="M165"/>
  <c r="K165"/>
  <c r="J165"/>
  <c r="H165"/>
  <c r="G165"/>
  <c r="F165"/>
  <c r="E165"/>
  <c r="C165"/>
  <c r="B165"/>
  <c r="P164"/>
  <c r="O164"/>
  <c r="N164"/>
  <c r="M164"/>
  <c r="K164"/>
  <c r="J164"/>
  <c r="H164"/>
  <c r="G164"/>
  <c r="F164"/>
  <c r="E164"/>
  <c r="C164"/>
  <c r="B164"/>
  <c r="P152"/>
  <c r="O152"/>
  <c r="N152"/>
  <c r="M152"/>
  <c r="K152"/>
  <c r="J152"/>
  <c r="H152"/>
  <c r="G152"/>
  <c r="F152"/>
  <c r="E152"/>
  <c r="C152"/>
  <c r="B152"/>
  <c r="P151"/>
  <c r="O151"/>
  <c r="N151"/>
  <c r="M151"/>
  <c r="K151"/>
  <c r="J151"/>
  <c r="H151"/>
  <c r="G151"/>
  <c r="F151"/>
  <c r="E151"/>
  <c r="C151"/>
  <c r="B151"/>
  <c r="P150"/>
  <c r="O150"/>
  <c r="N150"/>
  <c r="M150"/>
  <c r="K150"/>
  <c r="J150"/>
  <c r="H150"/>
  <c r="G150"/>
  <c r="F150"/>
  <c r="E150"/>
  <c r="C150"/>
  <c r="B150"/>
  <c r="P149"/>
  <c r="O149"/>
  <c r="N149"/>
  <c r="M149"/>
  <c r="K149"/>
  <c r="J149"/>
  <c r="H149"/>
  <c r="G149"/>
  <c r="F149"/>
  <c r="E149"/>
  <c r="C149"/>
  <c r="B149"/>
  <c r="P147"/>
  <c r="O147"/>
  <c r="N147"/>
  <c r="M147"/>
  <c r="K147"/>
  <c r="J147"/>
  <c r="H147"/>
  <c r="G147"/>
  <c r="F147"/>
  <c r="E147"/>
  <c r="C147"/>
  <c r="B147"/>
  <c r="P146"/>
  <c r="O146"/>
  <c r="N146"/>
  <c r="M146"/>
  <c r="K146"/>
  <c r="J146"/>
  <c r="H146"/>
  <c r="G146"/>
  <c r="F146"/>
  <c r="E146"/>
  <c r="C146"/>
  <c r="B146"/>
  <c r="P145"/>
  <c r="O145"/>
  <c r="N145"/>
  <c r="M145"/>
  <c r="K145"/>
  <c r="J145"/>
  <c r="H145"/>
  <c r="G145"/>
  <c r="F145"/>
  <c r="E145"/>
  <c r="C145"/>
  <c r="B145"/>
  <c r="P144"/>
  <c r="O144"/>
  <c r="N144"/>
  <c r="M144"/>
  <c r="K144"/>
  <c r="J144"/>
  <c r="H144"/>
  <c r="G144"/>
  <c r="F144"/>
  <c r="E144"/>
  <c r="C144"/>
  <c r="B144"/>
  <c r="P142"/>
  <c r="O142"/>
  <c r="N142"/>
  <c r="M142"/>
  <c r="K142"/>
  <c r="J142"/>
  <c r="H142"/>
  <c r="G142"/>
  <c r="F142"/>
  <c r="E142"/>
  <c r="C142"/>
  <c r="B142"/>
  <c r="P141"/>
  <c r="O141"/>
  <c r="N141"/>
  <c r="M141"/>
  <c r="K141"/>
  <c r="J141"/>
  <c r="H141"/>
  <c r="G141"/>
  <c r="F141"/>
  <c r="E141"/>
  <c r="C141"/>
  <c r="B141"/>
  <c r="P140"/>
  <c r="O140"/>
  <c r="N140"/>
  <c r="M140"/>
  <c r="K140"/>
  <c r="J140"/>
  <c r="H140"/>
  <c r="G140"/>
  <c r="F140"/>
  <c r="E140"/>
  <c r="C140"/>
  <c r="B140"/>
  <c r="P139"/>
  <c r="O139"/>
  <c r="N139"/>
  <c r="M139"/>
  <c r="K139"/>
  <c r="J139"/>
  <c r="H139"/>
  <c r="G139"/>
  <c r="F139"/>
  <c r="E139"/>
  <c r="C139"/>
  <c r="B139"/>
  <c r="P137"/>
  <c r="O137"/>
  <c r="N137"/>
  <c r="M137"/>
  <c r="K137"/>
  <c r="J137"/>
  <c r="H137"/>
  <c r="G137"/>
  <c r="F137"/>
  <c r="E137"/>
  <c r="C137"/>
  <c r="B137"/>
  <c r="P136"/>
  <c r="O136"/>
  <c r="N136"/>
  <c r="M136"/>
  <c r="K136"/>
  <c r="J136"/>
  <c r="H136"/>
  <c r="G136"/>
  <c r="F136"/>
  <c r="E136"/>
  <c r="C136"/>
  <c r="B136"/>
  <c r="P135"/>
  <c r="O135"/>
  <c r="N135"/>
  <c r="M135"/>
  <c r="K135"/>
  <c r="J135"/>
  <c r="H135"/>
  <c r="G135"/>
  <c r="F135"/>
  <c r="E135"/>
  <c r="C135"/>
  <c r="B135"/>
  <c r="P134"/>
  <c r="O134"/>
  <c r="N134"/>
  <c r="M134"/>
  <c r="K134"/>
  <c r="J134"/>
  <c r="H134"/>
  <c r="G134"/>
  <c r="F134"/>
  <c r="E134"/>
  <c r="C134"/>
  <c r="B134"/>
  <c r="P121"/>
  <c r="O121"/>
  <c r="N121"/>
  <c r="M121"/>
  <c r="K121"/>
  <c r="J121"/>
  <c r="D84" i="7" s="1"/>
  <c r="H121" i="8"/>
  <c r="G121"/>
  <c r="F121"/>
  <c r="E121"/>
  <c r="C121"/>
  <c r="B121"/>
  <c r="D25" i="7" s="1"/>
  <c r="P120" i="8"/>
  <c r="O120"/>
  <c r="N120"/>
  <c r="M120"/>
  <c r="K120"/>
  <c r="J120"/>
  <c r="D83" i="7" s="1"/>
  <c r="H120" i="8"/>
  <c r="G120"/>
  <c r="F120"/>
  <c r="E120"/>
  <c r="C120"/>
  <c r="B120"/>
  <c r="D24" i="7" s="1"/>
  <c r="P119" i="8"/>
  <c r="O119"/>
  <c r="N119"/>
  <c r="M119"/>
  <c r="K119"/>
  <c r="J119"/>
  <c r="D82" i="7" s="1"/>
  <c r="H119" i="8"/>
  <c r="G119"/>
  <c r="F119"/>
  <c r="E119"/>
  <c r="C119"/>
  <c r="B119"/>
  <c r="D23" i="7" s="1"/>
  <c r="P118" i="8"/>
  <c r="O118"/>
  <c r="N118"/>
  <c r="M118"/>
  <c r="K118"/>
  <c r="J118"/>
  <c r="D81" i="7" s="1"/>
  <c r="H118" i="8"/>
  <c r="G118"/>
  <c r="F118"/>
  <c r="E118"/>
  <c r="C118"/>
  <c r="B118"/>
  <c r="D22" i="7" s="1"/>
  <c r="P116" i="8"/>
  <c r="O116"/>
  <c r="N116"/>
  <c r="M116"/>
  <c r="K116"/>
  <c r="J116"/>
  <c r="D79" i="7" s="1"/>
  <c r="H116" i="8"/>
  <c r="G116"/>
  <c r="F116"/>
  <c r="E116"/>
  <c r="C116"/>
  <c r="B116"/>
  <c r="D20" i="7" s="1"/>
  <c r="P115" i="8"/>
  <c r="O115"/>
  <c r="N115"/>
  <c r="M115"/>
  <c r="K115"/>
  <c r="J115"/>
  <c r="D78" i="7" s="1"/>
  <c r="H115" i="8"/>
  <c r="G115"/>
  <c r="F115"/>
  <c r="E115"/>
  <c r="C115"/>
  <c r="B115"/>
  <c r="D19" i="7" s="1"/>
  <c r="P114" i="8"/>
  <c r="O114"/>
  <c r="N114"/>
  <c r="M114"/>
  <c r="K114"/>
  <c r="J114"/>
  <c r="D77" i="7" s="1"/>
  <c r="H114" i="8"/>
  <c r="G114"/>
  <c r="F114"/>
  <c r="E114"/>
  <c r="C114"/>
  <c r="B114"/>
  <c r="D18" i="7" s="1"/>
  <c r="P113" i="8"/>
  <c r="O113"/>
  <c r="N113"/>
  <c r="M113"/>
  <c r="K113"/>
  <c r="J113"/>
  <c r="D76" i="7" s="1"/>
  <c r="H113" i="8"/>
  <c r="G113"/>
  <c r="F113"/>
  <c r="E113"/>
  <c r="C113"/>
  <c r="B113"/>
  <c r="D17" i="7" s="1"/>
  <c r="P111" i="8"/>
  <c r="O111"/>
  <c r="N111"/>
  <c r="M111"/>
  <c r="K111"/>
  <c r="J111"/>
  <c r="D74" i="7" s="1"/>
  <c r="H111" i="8"/>
  <c r="G111"/>
  <c r="F111"/>
  <c r="E111"/>
  <c r="C111"/>
  <c r="B111"/>
  <c r="D15" i="7" s="1"/>
  <c r="P110" i="8"/>
  <c r="O110"/>
  <c r="N110"/>
  <c r="M110"/>
  <c r="K110"/>
  <c r="J110"/>
  <c r="D73" i="7" s="1"/>
  <c r="H110" i="8"/>
  <c r="G110"/>
  <c r="F110"/>
  <c r="E110"/>
  <c r="C110"/>
  <c r="B110"/>
  <c r="D14" i="7" s="1"/>
  <c r="P109" i="8"/>
  <c r="O109"/>
  <c r="N109"/>
  <c r="M109"/>
  <c r="K109"/>
  <c r="J109"/>
  <c r="D72" i="7" s="1"/>
  <c r="H109" i="8"/>
  <c r="G109"/>
  <c r="F109"/>
  <c r="E109"/>
  <c r="C109"/>
  <c r="B109"/>
  <c r="D13" i="7" s="1"/>
  <c r="P108" i="8"/>
  <c r="O108"/>
  <c r="N108"/>
  <c r="M108"/>
  <c r="K108"/>
  <c r="J108"/>
  <c r="D71" i="7" s="1"/>
  <c r="H108" i="8"/>
  <c r="G108"/>
  <c r="F108"/>
  <c r="E108"/>
  <c r="C108"/>
  <c r="B108"/>
  <c r="D12" i="7" s="1"/>
  <c r="P106" i="8"/>
  <c r="O106"/>
  <c r="N106"/>
  <c r="M106"/>
  <c r="K106"/>
  <c r="J106"/>
  <c r="D69" i="7" s="1"/>
  <c r="H106" i="8"/>
  <c r="G106"/>
  <c r="F106"/>
  <c r="E106"/>
  <c r="C106"/>
  <c r="B106"/>
  <c r="D10" i="7" s="1"/>
  <c r="P105" i="8"/>
  <c r="O105"/>
  <c r="N105"/>
  <c r="M105"/>
  <c r="K105"/>
  <c r="J105"/>
  <c r="D68" i="7" s="1"/>
  <c r="H105" i="8"/>
  <c r="G105"/>
  <c r="F105"/>
  <c r="E105"/>
  <c r="C105"/>
  <c r="B105"/>
  <c r="D9" i="7" s="1"/>
  <c r="P104" i="8"/>
  <c r="O104"/>
  <c r="N104"/>
  <c r="M104"/>
  <c r="K104"/>
  <c r="J104"/>
  <c r="D67" i="7" s="1"/>
  <c r="H104" i="8"/>
  <c r="G104"/>
  <c r="F104"/>
  <c r="E104"/>
  <c r="C104"/>
  <c r="B104"/>
  <c r="D8" i="7" s="1"/>
  <c r="P103" i="8"/>
  <c r="O103"/>
  <c r="N103"/>
  <c r="M103"/>
  <c r="K103"/>
  <c r="J103"/>
  <c r="D66" i="7" s="1"/>
  <c r="H103" i="8"/>
  <c r="G103"/>
  <c r="F103"/>
  <c r="E103"/>
  <c r="C103"/>
  <c r="B103"/>
  <c r="D7" i="7" s="1"/>
  <c r="P90" i="8"/>
  <c r="O90"/>
  <c r="N90"/>
  <c r="M90"/>
  <c r="K90"/>
  <c r="J90"/>
  <c r="C84" i="7" s="1"/>
  <c r="H90" i="8"/>
  <c r="G90"/>
  <c r="F90"/>
  <c r="E90"/>
  <c r="C90"/>
  <c r="B90"/>
  <c r="C25" i="7" s="1"/>
  <c r="P89" i="8"/>
  <c r="O89"/>
  <c r="N89"/>
  <c r="M89"/>
  <c r="K89"/>
  <c r="J89"/>
  <c r="C83" i="7" s="1"/>
  <c r="H89" i="8"/>
  <c r="G89"/>
  <c r="F89"/>
  <c r="E89"/>
  <c r="C89"/>
  <c r="B89"/>
  <c r="C24" i="7" s="1"/>
  <c r="P88" i="8"/>
  <c r="O88"/>
  <c r="N88"/>
  <c r="M88"/>
  <c r="K88"/>
  <c r="J88"/>
  <c r="C82" i="7" s="1"/>
  <c r="H88" i="8"/>
  <c r="G88"/>
  <c r="F88"/>
  <c r="E88"/>
  <c r="C88"/>
  <c r="B88"/>
  <c r="C23" i="7" s="1"/>
  <c r="P87" i="8"/>
  <c r="O87"/>
  <c r="N87"/>
  <c r="M87"/>
  <c r="K87"/>
  <c r="J87"/>
  <c r="C81" i="7" s="1"/>
  <c r="H87" i="8"/>
  <c r="G87"/>
  <c r="F87"/>
  <c r="E87"/>
  <c r="C87"/>
  <c r="B87"/>
  <c r="C22" i="7" s="1"/>
  <c r="P85" i="8"/>
  <c r="O85"/>
  <c r="N85"/>
  <c r="M85"/>
  <c r="K85"/>
  <c r="J85"/>
  <c r="C79" i="7" s="1"/>
  <c r="H85" i="8"/>
  <c r="G85"/>
  <c r="F85"/>
  <c r="E85"/>
  <c r="C85"/>
  <c r="B85"/>
  <c r="C20" i="7" s="1"/>
  <c r="P84" i="8"/>
  <c r="O84"/>
  <c r="N84"/>
  <c r="M84"/>
  <c r="K84"/>
  <c r="J84"/>
  <c r="C78" i="7" s="1"/>
  <c r="H84" i="8"/>
  <c r="G84"/>
  <c r="F84"/>
  <c r="E84"/>
  <c r="C84"/>
  <c r="B84"/>
  <c r="C19" i="7" s="1"/>
  <c r="P83" i="8"/>
  <c r="O83"/>
  <c r="N83"/>
  <c r="M83"/>
  <c r="K83"/>
  <c r="J83"/>
  <c r="C77" i="7" s="1"/>
  <c r="H83" i="8"/>
  <c r="G83"/>
  <c r="F83"/>
  <c r="E83"/>
  <c r="C83"/>
  <c r="B83"/>
  <c r="C18" i="7" s="1"/>
  <c r="P82" i="8"/>
  <c r="O82"/>
  <c r="N82"/>
  <c r="M82"/>
  <c r="K82"/>
  <c r="J82"/>
  <c r="C76" i="7" s="1"/>
  <c r="H82" i="8"/>
  <c r="G82"/>
  <c r="F82"/>
  <c r="E82"/>
  <c r="C82"/>
  <c r="B82"/>
  <c r="C17" i="7" s="1"/>
  <c r="P80" i="8"/>
  <c r="O80"/>
  <c r="N80"/>
  <c r="M80"/>
  <c r="K80"/>
  <c r="J80"/>
  <c r="C74" i="7" s="1"/>
  <c r="H80" i="8"/>
  <c r="G80"/>
  <c r="F80"/>
  <c r="E80"/>
  <c r="D80" s="1"/>
  <c r="C80"/>
  <c r="B80"/>
  <c r="C15" i="7" s="1"/>
  <c r="P79" i="8"/>
  <c r="O79"/>
  <c r="N79"/>
  <c r="M79"/>
  <c r="K79"/>
  <c r="J79"/>
  <c r="C73" i="7" s="1"/>
  <c r="H79" i="8"/>
  <c r="G79"/>
  <c r="F79"/>
  <c r="E79"/>
  <c r="D79" s="1"/>
  <c r="C79"/>
  <c r="B79"/>
  <c r="C14" i="7" s="1"/>
  <c r="P78" i="8"/>
  <c r="O78"/>
  <c r="N78"/>
  <c r="M78"/>
  <c r="K78"/>
  <c r="J78"/>
  <c r="C72" i="7" s="1"/>
  <c r="H78" i="8"/>
  <c r="G78"/>
  <c r="F78"/>
  <c r="E78"/>
  <c r="D78" s="1"/>
  <c r="C78"/>
  <c r="B78"/>
  <c r="C13" i="7" s="1"/>
  <c r="P77" i="8"/>
  <c r="O77"/>
  <c r="N77"/>
  <c r="M77"/>
  <c r="K77"/>
  <c r="J77"/>
  <c r="C71" i="7" s="1"/>
  <c r="H77" i="8"/>
  <c r="G77"/>
  <c r="F77"/>
  <c r="E77"/>
  <c r="D77" s="1"/>
  <c r="C77"/>
  <c r="B77"/>
  <c r="C12" i="7" s="1"/>
  <c r="P75" i="8"/>
  <c r="O75"/>
  <c r="N75"/>
  <c r="M75"/>
  <c r="K75"/>
  <c r="J75"/>
  <c r="C69" i="7" s="1"/>
  <c r="H75" i="8"/>
  <c r="G75"/>
  <c r="F75"/>
  <c r="E75"/>
  <c r="D75" s="1"/>
  <c r="C75"/>
  <c r="B75"/>
  <c r="C10" i="7" s="1"/>
  <c r="P74" i="8"/>
  <c r="O74"/>
  <c r="N74"/>
  <c r="M74"/>
  <c r="K74"/>
  <c r="J74"/>
  <c r="C68" i="7" s="1"/>
  <c r="H74" i="8"/>
  <c r="G74"/>
  <c r="F74"/>
  <c r="E74"/>
  <c r="D74" s="1"/>
  <c r="C74"/>
  <c r="B74"/>
  <c r="C9" i="7" s="1"/>
  <c r="P73" i="8"/>
  <c r="O73"/>
  <c r="N73"/>
  <c r="M73"/>
  <c r="L73" s="1"/>
  <c r="K73"/>
  <c r="J73"/>
  <c r="C67" i="7" s="1"/>
  <c r="H73" i="8"/>
  <c r="G73"/>
  <c r="F73"/>
  <c r="E73"/>
  <c r="D73" s="1"/>
  <c r="C73"/>
  <c r="B73"/>
  <c r="C8" i="7" s="1"/>
  <c r="P72" i="8"/>
  <c r="O72"/>
  <c r="N72"/>
  <c r="M72"/>
  <c r="K72"/>
  <c r="J72"/>
  <c r="C66" i="7" s="1"/>
  <c r="H72" i="8"/>
  <c r="G72"/>
  <c r="F72"/>
  <c r="E72"/>
  <c r="D72" s="1"/>
  <c r="C72"/>
  <c r="B72"/>
  <c r="C7" i="7" s="1"/>
  <c r="P59" i="8"/>
  <c r="O59"/>
  <c r="N59"/>
  <c r="M59"/>
  <c r="L59" s="1"/>
  <c r="K59"/>
  <c r="J59"/>
  <c r="B84" i="7" s="1"/>
  <c r="H59" i="8"/>
  <c r="G59"/>
  <c r="F59"/>
  <c r="E59"/>
  <c r="D59" s="1"/>
  <c r="C59"/>
  <c r="B59"/>
  <c r="B25" i="7" s="1"/>
  <c r="P58" i="8"/>
  <c r="O58"/>
  <c r="N58"/>
  <c r="M58"/>
  <c r="K58"/>
  <c r="J58"/>
  <c r="B83" i="7" s="1"/>
  <c r="H58" i="8"/>
  <c r="G58"/>
  <c r="F58"/>
  <c r="E58"/>
  <c r="D58" s="1"/>
  <c r="C58"/>
  <c r="B58"/>
  <c r="B24" i="7" s="1"/>
  <c r="P57" i="8"/>
  <c r="O57"/>
  <c r="N57"/>
  <c r="M57"/>
  <c r="L57" s="1"/>
  <c r="K57"/>
  <c r="J57"/>
  <c r="B82" i="7" s="1"/>
  <c r="H57" i="8"/>
  <c r="G57"/>
  <c r="F57"/>
  <c r="E57"/>
  <c r="D57" s="1"/>
  <c r="C57"/>
  <c r="B57"/>
  <c r="B23" i="7" s="1"/>
  <c r="P56" i="8"/>
  <c r="O56"/>
  <c r="N56"/>
  <c r="M56"/>
  <c r="L56" s="1"/>
  <c r="K56"/>
  <c r="J56"/>
  <c r="B81" i="7" s="1"/>
  <c r="H56" i="8"/>
  <c r="G56"/>
  <c r="F56"/>
  <c r="E56"/>
  <c r="D56" s="1"/>
  <c r="C56"/>
  <c r="B56"/>
  <c r="B22" i="7" s="1"/>
  <c r="P54" i="8"/>
  <c r="O54"/>
  <c r="N54"/>
  <c r="M54"/>
  <c r="L54" s="1"/>
  <c r="K54"/>
  <c r="J54"/>
  <c r="B79" i="7" s="1"/>
  <c r="H54" i="8"/>
  <c r="G54"/>
  <c r="F54"/>
  <c r="E54"/>
  <c r="D54" s="1"/>
  <c r="C54"/>
  <c r="B54"/>
  <c r="B20" i="7" s="1"/>
  <c r="P53" i="8"/>
  <c r="O53"/>
  <c r="N53"/>
  <c r="M53"/>
  <c r="L53" s="1"/>
  <c r="K53"/>
  <c r="J53"/>
  <c r="B78" i="7" s="1"/>
  <c r="H53" i="8"/>
  <c r="G53"/>
  <c r="F53"/>
  <c r="E53"/>
  <c r="D53" s="1"/>
  <c r="C53"/>
  <c r="B53"/>
  <c r="B19" i="7" s="1"/>
  <c r="P52" i="8"/>
  <c r="O52"/>
  <c r="N52"/>
  <c r="M52"/>
  <c r="L52" s="1"/>
  <c r="K52"/>
  <c r="J52"/>
  <c r="B77" i="7" s="1"/>
  <c r="H52" i="8"/>
  <c r="G52"/>
  <c r="F52"/>
  <c r="E52"/>
  <c r="D52" s="1"/>
  <c r="C52"/>
  <c r="B52"/>
  <c r="B18" i="7" s="1"/>
  <c r="P51" i="8"/>
  <c r="O51"/>
  <c r="N51"/>
  <c r="M51"/>
  <c r="L51" s="1"/>
  <c r="K51"/>
  <c r="J51"/>
  <c r="B76" i="7" s="1"/>
  <c r="H51" i="8"/>
  <c r="G51"/>
  <c r="F51"/>
  <c r="E51"/>
  <c r="D51" s="1"/>
  <c r="C51"/>
  <c r="B51"/>
  <c r="B17" i="7" s="1"/>
  <c r="P49" i="8"/>
  <c r="O49"/>
  <c r="N49"/>
  <c r="M49"/>
  <c r="L49" s="1"/>
  <c r="K49"/>
  <c r="J49"/>
  <c r="B74" i="7" s="1"/>
  <c r="H49" i="8"/>
  <c r="G49"/>
  <c r="F49"/>
  <c r="E49"/>
  <c r="D49" s="1"/>
  <c r="C49"/>
  <c r="B49"/>
  <c r="B15" i="7" s="1"/>
  <c r="P48" i="8"/>
  <c r="O48"/>
  <c r="N48"/>
  <c r="M48"/>
  <c r="L48" s="1"/>
  <c r="K48"/>
  <c r="J48"/>
  <c r="B73" i="7" s="1"/>
  <c r="H48" i="8"/>
  <c r="G48"/>
  <c r="F48"/>
  <c r="E48"/>
  <c r="D48" s="1"/>
  <c r="C48"/>
  <c r="B48"/>
  <c r="B14" i="7" s="1"/>
  <c r="P47" i="8"/>
  <c r="O47"/>
  <c r="N47"/>
  <c r="M47"/>
  <c r="L47" s="1"/>
  <c r="K47"/>
  <c r="J47"/>
  <c r="B72" i="7" s="1"/>
  <c r="H47" i="8"/>
  <c r="G47"/>
  <c r="F47"/>
  <c r="E47"/>
  <c r="D47" s="1"/>
  <c r="C47"/>
  <c r="B47"/>
  <c r="B13" i="7" s="1"/>
  <c r="P46" i="8"/>
  <c r="O46"/>
  <c r="N46"/>
  <c r="M46"/>
  <c r="L46" s="1"/>
  <c r="K46"/>
  <c r="J46"/>
  <c r="B71" i="7" s="1"/>
  <c r="H46" i="8"/>
  <c r="G46"/>
  <c r="F46"/>
  <c r="E46"/>
  <c r="D46" s="1"/>
  <c r="C46"/>
  <c r="B46"/>
  <c r="B12" i="7" s="1"/>
  <c r="P44" i="8"/>
  <c r="O44"/>
  <c r="N44"/>
  <c r="M44"/>
  <c r="L44" s="1"/>
  <c r="K44"/>
  <c r="J44"/>
  <c r="B69" i="7" s="1"/>
  <c r="H44" i="8"/>
  <c r="G44"/>
  <c r="F44"/>
  <c r="E44"/>
  <c r="D44" s="1"/>
  <c r="C44"/>
  <c r="B44"/>
  <c r="B10" i="7" s="1"/>
  <c r="P43" i="8"/>
  <c r="O43"/>
  <c r="N43"/>
  <c r="M43"/>
  <c r="L43" s="1"/>
  <c r="K43"/>
  <c r="J43"/>
  <c r="B68" i="7" s="1"/>
  <c r="H43" i="8"/>
  <c r="G43"/>
  <c r="F43"/>
  <c r="E43"/>
  <c r="D43" s="1"/>
  <c r="C43"/>
  <c r="B43"/>
  <c r="B9" i="7" s="1"/>
  <c r="P42" i="8"/>
  <c r="O42"/>
  <c r="N42"/>
  <c r="M42"/>
  <c r="L42" s="1"/>
  <c r="K42"/>
  <c r="J42"/>
  <c r="B67" i="7" s="1"/>
  <c r="H42" i="8"/>
  <c r="G42"/>
  <c r="F42"/>
  <c r="E42"/>
  <c r="D42" s="1"/>
  <c r="C42"/>
  <c r="B42"/>
  <c r="B8" i="7" s="1"/>
  <c r="P41" i="8"/>
  <c r="O41"/>
  <c r="N41"/>
  <c r="M41"/>
  <c r="L41" s="1"/>
  <c r="K41"/>
  <c r="J41"/>
  <c r="B66" i="7" s="1"/>
  <c r="H41" i="8"/>
  <c r="G41"/>
  <c r="F41"/>
  <c r="E41"/>
  <c r="D41" s="1"/>
  <c r="C41"/>
  <c r="B41"/>
  <c r="B7" i="7" s="1"/>
  <c r="P27" i="8"/>
  <c r="O27"/>
  <c r="N27"/>
  <c r="M27"/>
  <c r="L27" s="1"/>
  <c r="K27"/>
  <c r="J27"/>
  <c r="H84" i="7" s="1"/>
  <c r="P26" i="8"/>
  <c r="O26"/>
  <c r="N26"/>
  <c r="M26"/>
  <c r="L26" s="1"/>
  <c r="K26"/>
  <c r="J26"/>
  <c r="H83" i="7" s="1"/>
  <c r="P25" i="8"/>
  <c r="O25"/>
  <c r="N25"/>
  <c r="M25"/>
  <c r="L25" s="1"/>
  <c r="K25"/>
  <c r="J25"/>
  <c r="H82" i="7" s="1"/>
  <c r="P24" i="8"/>
  <c r="O24"/>
  <c r="N24"/>
  <c r="M24"/>
  <c r="L24" s="1"/>
  <c r="K24"/>
  <c r="J24"/>
  <c r="H81" i="7" s="1"/>
  <c r="P22" i="8"/>
  <c r="O22"/>
  <c r="N22"/>
  <c r="M22"/>
  <c r="L22" s="1"/>
  <c r="K22"/>
  <c r="J22"/>
  <c r="H79" i="7" s="1"/>
  <c r="P21" i="8"/>
  <c r="O21"/>
  <c r="N21"/>
  <c r="M21"/>
  <c r="L21" s="1"/>
  <c r="K21"/>
  <c r="J21"/>
  <c r="H78" i="7" s="1"/>
  <c r="P20" i="8"/>
  <c r="O20"/>
  <c r="N20"/>
  <c r="M20"/>
  <c r="L20" s="1"/>
  <c r="K20"/>
  <c r="J20"/>
  <c r="H77" i="7" s="1"/>
  <c r="P19" i="8"/>
  <c r="O19"/>
  <c r="N19"/>
  <c r="M19"/>
  <c r="L19" s="1"/>
  <c r="H105" i="7" s="1"/>
  <c r="K19" i="8"/>
  <c r="J19"/>
  <c r="H76" i="7" s="1"/>
  <c r="P17" i="8"/>
  <c r="O17"/>
  <c r="N17"/>
  <c r="M17"/>
  <c r="L17" s="1"/>
  <c r="K17"/>
  <c r="J17"/>
  <c r="H74" i="7" s="1"/>
  <c r="P16" i="8"/>
  <c r="O16"/>
  <c r="N16"/>
  <c r="M16"/>
  <c r="L16" s="1"/>
  <c r="H102" i="7" s="1"/>
  <c r="K16" i="8"/>
  <c r="J16"/>
  <c r="H73" i="7" s="1"/>
  <c r="P15" i="8"/>
  <c r="O15"/>
  <c r="N15"/>
  <c r="M15"/>
  <c r="L15" s="1"/>
  <c r="K15"/>
  <c r="J15"/>
  <c r="H72" i="7" s="1"/>
  <c r="P14" i="8"/>
  <c r="O14"/>
  <c r="N14"/>
  <c r="M14"/>
  <c r="L14" s="1"/>
  <c r="K14"/>
  <c r="J14"/>
  <c r="H71" i="7" s="1"/>
  <c r="P12" i="8"/>
  <c r="O12"/>
  <c r="N12"/>
  <c r="M12"/>
  <c r="L12" s="1"/>
  <c r="H98" i="7" s="1"/>
  <c r="K12" i="8"/>
  <c r="J12"/>
  <c r="H69" i="7" s="1"/>
  <c r="P11" i="8"/>
  <c r="O11"/>
  <c r="N11"/>
  <c r="M11"/>
  <c r="L11" s="1"/>
  <c r="H97" i="7" s="1"/>
  <c r="K11" i="8"/>
  <c r="J11"/>
  <c r="H68" i="7" s="1"/>
  <c r="P10" i="8"/>
  <c r="O10"/>
  <c r="N10"/>
  <c r="M10"/>
  <c r="L10" s="1"/>
  <c r="K10"/>
  <c r="J10"/>
  <c r="H67" i="7" s="1"/>
  <c r="P9" i="8"/>
  <c r="O9"/>
  <c r="N9"/>
  <c r="M9"/>
  <c r="L9" s="1"/>
  <c r="K9"/>
  <c r="J9"/>
  <c r="H66" i="7" s="1"/>
  <c r="H27" i="8"/>
  <c r="G27"/>
  <c r="F27"/>
  <c r="E27"/>
  <c r="D27" s="1"/>
  <c r="C27"/>
  <c r="B27"/>
  <c r="H25" i="7" s="1"/>
  <c r="H26" i="8"/>
  <c r="G26"/>
  <c r="F26"/>
  <c r="E26"/>
  <c r="D26" s="1"/>
  <c r="C26"/>
  <c r="B26"/>
  <c r="H24" i="7" s="1"/>
  <c r="H25" i="8"/>
  <c r="G25"/>
  <c r="F25"/>
  <c r="E25"/>
  <c r="D25" s="1"/>
  <c r="C25"/>
  <c r="B25"/>
  <c r="H23" i="7" s="1"/>
  <c r="H24" i="8"/>
  <c r="G24"/>
  <c r="F24"/>
  <c r="E24"/>
  <c r="D24" s="1"/>
  <c r="C24"/>
  <c r="B24"/>
  <c r="H22" i="7" s="1"/>
  <c r="H22" i="8"/>
  <c r="G22"/>
  <c r="F22"/>
  <c r="E22"/>
  <c r="D22" s="1"/>
  <c r="C22"/>
  <c r="B22"/>
  <c r="H20" i="7" s="1"/>
  <c r="H21" i="8"/>
  <c r="G21"/>
  <c r="F21"/>
  <c r="E21"/>
  <c r="D21" s="1"/>
  <c r="C21"/>
  <c r="B21"/>
  <c r="H19" i="7" s="1"/>
  <c r="H20" i="8"/>
  <c r="G20"/>
  <c r="F20"/>
  <c r="E20"/>
  <c r="D20" s="1"/>
  <c r="C20"/>
  <c r="B20"/>
  <c r="H18" i="7" s="1"/>
  <c r="H19" i="8"/>
  <c r="G19"/>
  <c r="F19"/>
  <c r="E19"/>
  <c r="D19" s="1"/>
  <c r="C19"/>
  <c r="B19"/>
  <c r="H17" i="7" s="1"/>
  <c r="H17" i="8"/>
  <c r="G17"/>
  <c r="F17"/>
  <c r="E17"/>
  <c r="D17" s="1"/>
  <c r="C17"/>
  <c r="B17"/>
  <c r="H15" i="7" s="1"/>
  <c r="H16" i="8"/>
  <c r="G16"/>
  <c r="F16"/>
  <c r="E16"/>
  <c r="D16" s="1"/>
  <c r="C16"/>
  <c r="B16"/>
  <c r="H14" i="7" s="1"/>
  <c r="H15" i="8"/>
  <c r="G15"/>
  <c r="F15"/>
  <c r="E15"/>
  <c r="D15" s="1"/>
  <c r="H41" i="7" s="1"/>
  <c r="C15" i="8"/>
  <c r="B15"/>
  <c r="H13" i="7" s="1"/>
  <c r="H14" i="8"/>
  <c r="G14"/>
  <c r="F14"/>
  <c r="E14"/>
  <c r="D14" s="1"/>
  <c r="C14"/>
  <c r="B14"/>
  <c r="H12" i="7" s="1"/>
  <c r="H12" i="8"/>
  <c r="G12"/>
  <c r="F12"/>
  <c r="E12"/>
  <c r="D12" s="1"/>
  <c r="H38" i="7" s="1"/>
  <c r="C12" i="8"/>
  <c r="B12"/>
  <c r="H10" i="7" s="1"/>
  <c r="H11" i="8"/>
  <c r="G11"/>
  <c r="F11"/>
  <c r="E11"/>
  <c r="D11" s="1"/>
  <c r="C11"/>
  <c r="B11"/>
  <c r="H9" i="7" s="1"/>
  <c r="H10" i="8"/>
  <c r="G10"/>
  <c r="F10"/>
  <c r="E10"/>
  <c r="D10" s="1"/>
  <c r="H36" i="7" s="1"/>
  <c r="H9" i="8"/>
  <c r="G9"/>
  <c r="F9"/>
  <c r="E9"/>
  <c r="D9" s="1"/>
  <c r="C10"/>
  <c r="C9"/>
  <c r="B10"/>
  <c r="H8" i="7" s="1"/>
  <c r="B9" i="8"/>
  <c r="H7" i="7" s="1"/>
  <c r="D458" i="8"/>
  <c r="D457"/>
  <c r="D456"/>
  <c r="D455"/>
  <c r="Q454"/>
  <c r="D453"/>
  <c r="O48" i="7" s="1"/>
  <c r="D452" i="8"/>
  <c r="O47" i="7" s="1"/>
  <c r="D451" i="8"/>
  <c r="O46" i="7" s="1"/>
  <c r="D450" i="8"/>
  <c r="O45" i="7" s="1"/>
  <c r="Q449" i="8"/>
  <c r="D448"/>
  <c r="D447"/>
  <c r="O42" i="7" s="1"/>
  <c r="D446" i="8"/>
  <c r="O41" i="7" s="1"/>
  <c r="Q446" i="8"/>
  <c r="D445"/>
  <c r="O40" i="7" s="1"/>
  <c r="Q445" i="8"/>
  <c r="Q444"/>
  <c r="D443"/>
  <c r="D442"/>
  <c r="D441"/>
  <c r="D440"/>
  <c r="Q439"/>
  <c r="Q438"/>
  <c r="Q437"/>
  <c r="Q436"/>
  <c r="Q435"/>
  <c r="Q434"/>
  <c r="Q433"/>
  <c r="Q432"/>
  <c r="Q431"/>
  <c r="Q430"/>
  <c r="Q429"/>
  <c r="D428"/>
  <c r="N53" i="7" s="1"/>
  <c r="D427" i="8"/>
  <c r="N52" i="7" s="1"/>
  <c r="D426" i="8"/>
  <c r="N51" i="7" s="1"/>
  <c r="D425" i="8"/>
  <c r="N50" i="7" s="1"/>
  <c r="Q424" i="8"/>
  <c r="D423"/>
  <c r="D422"/>
  <c r="D421"/>
  <c r="D420"/>
  <c r="Q419"/>
  <c r="D418"/>
  <c r="N43" i="7" s="1"/>
  <c r="D417" i="8"/>
  <c r="N42" i="7" s="1"/>
  <c r="D416" i="8"/>
  <c r="N41" i="7" s="1"/>
  <c r="Q416" i="8"/>
  <c r="D415"/>
  <c r="N40" i="7" s="1"/>
  <c r="Q414" i="8"/>
  <c r="D413"/>
  <c r="N38" i="7" s="1"/>
  <c r="Q413" i="8"/>
  <c r="D412"/>
  <c r="N37" i="7" s="1"/>
  <c r="Q412" i="8"/>
  <c r="D411"/>
  <c r="N36" i="7" s="1"/>
  <c r="Q411" i="8"/>
  <c r="D410"/>
  <c r="N35" i="7" s="1"/>
  <c r="Q410" i="8"/>
  <c r="Q409"/>
  <c r="Q408"/>
  <c r="Q407"/>
  <c r="Q406"/>
  <c r="Q405"/>
  <c r="Q404"/>
  <c r="Q403"/>
  <c r="Q402"/>
  <c r="Q401"/>
  <c r="Q400"/>
  <c r="Q399"/>
  <c r="Q394"/>
  <c r="Q393"/>
  <c r="Q391"/>
  <c r="Q389"/>
  <c r="Q384"/>
  <c r="Q379"/>
  <c r="Q378"/>
  <c r="Q377"/>
  <c r="Q376"/>
  <c r="Q375"/>
  <c r="Q374"/>
  <c r="Q373"/>
  <c r="Q372"/>
  <c r="Q371"/>
  <c r="Q370"/>
  <c r="Q369"/>
  <c r="Q368"/>
  <c r="D367"/>
  <c r="L53" i="7" s="1"/>
  <c r="D366" i="8"/>
  <c r="L52" i="7" s="1"/>
  <c r="D365" i="8"/>
  <c r="L51" i="7" s="1"/>
  <c r="D364" i="8"/>
  <c r="L50" i="7" s="1"/>
  <c r="Q363" i="8"/>
  <c r="D362"/>
  <c r="D361"/>
  <c r="D360"/>
  <c r="D359"/>
  <c r="Q358"/>
  <c r="D357"/>
  <c r="L43" i="7" s="1"/>
  <c r="D356" i="8"/>
  <c r="L42" i="7" s="1"/>
  <c r="D355" i="8"/>
  <c r="L41" i="7" s="1"/>
  <c r="D354" i="8"/>
  <c r="L40" i="7" s="1"/>
  <c r="Q353" i="8"/>
  <c r="D352"/>
  <c r="D351"/>
  <c r="D350"/>
  <c r="D349"/>
  <c r="Q348"/>
  <c r="Q347"/>
  <c r="Q346"/>
  <c r="Q345"/>
  <c r="Q344"/>
  <c r="Q343"/>
  <c r="Q342"/>
  <c r="Q341"/>
  <c r="Q340"/>
  <c r="Q339"/>
  <c r="Q338"/>
  <c r="D337"/>
  <c r="K53" i="7" s="1"/>
  <c r="D336" i="8"/>
  <c r="K52" i="7" s="1"/>
  <c r="D335" i="8"/>
  <c r="K51" i="7" s="1"/>
  <c r="D334" i="8"/>
  <c r="K50" i="7" s="1"/>
  <c r="Q333" i="8"/>
  <c r="D332"/>
  <c r="D331"/>
  <c r="D330"/>
  <c r="D329"/>
  <c r="Q328"/>
  <c r="D327"/>
  <c r="K43" i="7" s="1"/>
  <c r="D326" i="8"/>
  <c r="K42" i="7" s="1"/>
  <c r="D325" i="8"/>
  <c r="K41" i="7" s="1"/>
  <c r="D324" i="8"/>
  <c r="K40" i="7" s="1"/>
  <c r="Q323" i="8"/>
  <c r="D322"/>
  <c r="D321"/>
  <c r="D320"/>
  <c r="D319"/>
  <c r="Q318"/>
  <c r="Q317"/>
  <c r="Q316"/>
  <c r="Q315"/>
  <c r="Q314"/>
  <c r="Q313"/>
  <c r="Q312"/>
  <c r="Q311"/>
  <c r="Q310"/>
  <c r="Q309"/>
  <c r="Q308"/>
  <c r="Q307"/>
  <c r="D306"/>
  <c r="D305"/>
  <c r="D304"/>
  <c r="D303"/>
  <c r="Q302"/>
  <c r="D301"/>
  <c r="J48" i="7" s="1"/>
  <c r="D300" i="8"/>
  <c r="J47" i="7" s="1"/>
  <c r="D299" i="8"/>
  <c r="J46" i="7" s="1"/>
  <c r="D298" i="8"/>
  <c r="J45" i="7" s="1"/>
  <c r="Q297" i="8"/>
  <c r="D296"/>
  <c r="D295"/>
  <c r="D294"/>
  <c r="D293"/>
  <c r="Q292"/>
  <c r="D291"/>
  <c r="J38" i="7" s="1"/>
  <c r="D290" i="8"/>
  <c r="J37" i="7" s="1"/>
  <c r="D289" i="8"/>
  <c r="J36" i="7" s="1"/>
  <c r="D288" i="8"/>
  <c r="J35" i="7" s="1"/>
  <c r="Q287" i="8"/>
  <c r="Q286"/>
  <c r="Q285"/>
  <c r="Q284"/>
  <c r="Q283"/>
  <c r="Q282"/>
  <c r="Q281"/>
  <c r="Q280"/>
  <c r="Q279"/>
  <c r="Q278"/>
  <c r="Q277"/>
  <c r="Q276"/>
  <c r="D275"/>
  <c r="I53" i="7" s="1"/>
  <c r="D274" i="8"/>
  <c r="I52" i="7" s="1"/>
  <c r="D273" i="8"/>
  <c r="I51" i="7" s="1"/>
  <c r="D272" i="8"/>
  <c r="I50" i="7" s="1"/>
  <c r="Q271" i="8"/>
  <c r="D270"/>
  <c r="D269"/>
  <c r="D268"/>
  <c r="D267"/>
  <c r="Q266"/>
  <c r="D265"/>
  <c r="I43" i="7" s="1"/>
  <c r="D264" i="8"/>
  <c r="I42" i="7" s="1"/>
  <c r="D263" i="8"/>
  <c r="I41" i="7" s="1"/>
  <c r="D262" i="8"/>
  <c r="I40" i="7" s="1"/>
  <c r="Q261" i="8"/>
  <c r="D260"/>
  <c r="D259"/>
  <c r="D258"/>
  <c r="D257"/>
  <c r="Q256"/>
  <c r="Q255"/>
  <c r="Q254"/>
  <c r="Q253"/>
  <c r="Q252"/>
  <c r="Q251"/>
  <c r="Q250"/>
  <c r="Q249"/>
  <c r="Q248"/>
  <c r="Q247"/>
  <c r="Q246"/>
  <c r="Q245"/>
  <c r="D244"/>
  <c r="D243"/>
  <c r="D242"/>
  <c r="D241"/>
  <c r="Q240"/>
  <c r="D239"/>
  <c r="M48" i="7" s="1"/>
  <c r="D238" i="8"/>
  <c r="M47" i="7" s="1"/>
  <c r="D237" i="8"/>
  <c r="M46" i="7" s="1"/>
  <c r="D236" i="8"/>
  <c r="M45" i="7" s="1"/>
  <c r="Q235" i="8"/>
  <c r="D234"/>
  <c r="D233"/>
  <c r="D232"/>
  <c r="D231"/>
  <c r="Q230"/>
  <c r="D229"/>
  <c r="M38" i="7" s="1"/>
  <c r="D228" i="8"/>
  <c r="M37" i="7" s="1"/>
  <c r="D227" i="8"/>
  <c r="D226"/>
  <c r="M35" i="7" s="1"/>
  <c r="Q225" i="8"/>
  <c r="Q224"/>
  <c r="Q223"/>
  <c r="Q222"/>
  <c r="Q221"/>
  <c r="Q220"/>
  <c r="Q219"/>
  <c r="Q218"/>
  <c r="R217"/>
  <c r="Q217"/>
  <c r="R215"/>
  <c r="Q215"/>
  <c r="R214"/>
  <c r="Q214"/>
  <c r="L213"/>
  <c r="G113" i="7" s="1"/>
  <c r="D213" i="8"/>
  <c r="G53" i="7" s="1"/>
  <c r="L212" i="8"/>
  <c r="G112" i="7" s="1"/>
  <c r="D212" i="8"/>
  <c r="G52" i="7" s="1"/>
  <c r="L211" i="8"/>
  <c r="G111" i="7" s="1"/>
  <c r="D211" i="8"/>
  <c r="G51" i="7" s="1"/>
  <c r="L210" i="8"/>
  <c r="G110" i="7" s="1"/>
  <c r="D210" i="8"/>
  <c r="G50" i="7" s="1"/>
  <c r="R209" i="8"/>
  <c r="Q209"/>
  <c r="L208"/>
  <c r="G108" i="7" s="1"/>
  <c r="D208" i="8"/>
  <c r="G48" i="7" s="1"/>
  <c r="L207" i="8"/>
  <c r="G107" i="7" s="1"/>
  <c r="D207" i="8"/>
  <c r="G47" i="7" s="1"/>
  <c r="L206" i="8"/>
  <c r="G106" i="7" s="1"/>
  <c r="D206" i="8"/>
  <c r="G46" i="7" s="1"/>
  <c r="L205" i="8"/>
  <c r="G105" i="7" s="1"/>
  <c r="D205" i="8"/>
  <c r="G45" i="7" s="1"/>
  <c r="R204" i="8"/>
  <c r="Q204"/>
  <c r="L203"/>
  <c r="G103" i="7" s="1"/>
  <c r="D203" i="8"/>
  <c r="G43" i="7" s="1"/>
  <c r="L202" i="8"/>
  <c r="G102" i="7" s="1"/>
  <c r="D202" i="8"/>
  <c r="G42" i="7" s="1"/>
  <c r="L201" i="8"/>
  <c r="G101" i="7" s="1"/>
  <c r="D201" i="8"/>
  <c r="G41" i="7" s="1"/>
  <c r="L200" i="8"/>
  <c r="G100" i="7" s="1"/>
  <c r="D200" i="8"/>
  <c r="G40" i="7" s="1"/>
  <c r="R199" i="8"/>
  <c r="Q199"/>
  <c r="L198"/>
  <c r="G98" i="7" s="1"/>
  <c r="D198" i="8"/>
  <c r="G38" i="7" s="1"/>
  <c r="L197" i="8"/>
  <c r="G97" i="7" s="1"/>
  <c r="D197" i="8"/>
  <c r="G37" i="7" s="1"/>
  <c r="L196" i="8"/>
  <c r="G96" i="7" s="1"/>
  <c r="D196" i="8"/>
  <c r="G36" i="7" s="1"/>
  <c r="L195" i="8"/>
  <c r="G95" i="7" s="1"/>
  <c r="D195" i="8"/>
  <c r="G35" i="7" s="1"/>
  <c r="L182" i="8"/>
  <c r="F113" i="7" s="1"/>
  <c r="D182" i="8"/>
  <c r="F53" i="7" s="1"/>
  <c r="L181" i="8"/>
  <c r="F112" i="7" s="1"/>
  <c r="D181" i="8"/>
  <c r="F52" i="7" s="1"/>
  <c r="L180" i="8"/>
  <c r="F111" i="7" s="1"/>
  <c r="D180" i="8"/>
  <c r="F51" i="7" s="1"/>
  <c r="L179" i="8"/>
  <c r="F110" i="7" s="1"/>
  <c r="D179" i="8"/>
  <c r="F50" i="7" s="1"/>
  <c r="R178" i="8"/>
  <c r="Q178"/>
  <c r="L177"/>
  <c r="F108" i="7" s="1"/>
  <c r="D177" i="8"/>
  <c r="F48" i="7" s="1"/>
  <c r="L176" i="8"/>
  <c r="F107" i="7" s="1"/>
  <c r="D176" i="8"/>
  <c r="F47" i="7" s="1"/>
  <c r="L175" i="8"/>
  <c r="F106" i="7" s="1"/>
  <c r="D175" i="8"/>
  <c r="F46" i="7" s="1"/>
  <c r="L174" i="8"/>
  <c r="F105" i="7" s="1"/>
  <c r="D174" i="8"/>
  <c r="F45" i="7" s="1"/>
  <c r="R173" i="8"/>
  <c r="Q173"/>
  <c r="L172"/>
  <c r="F103" i="7" s="1"/>
  <c r="D172" i="8"/>
  <c r="F43" i="7" s="1"/>
  <c r="L171" i="8"/>
  <c r="F102" i="7" s="1"/>
  <c r="D171" i="8"/>
  <c r="F42" i="7" s="1"/>
  <c r="L170" i="8"/>
  <c r="F101" i="7" s="1"/>
  <c r="D170" i="8"/>
  <c r="F41" i="7" s="1"/>
  <c r="L169" i="8"/>
  <c r="F100" i="7" s="1"/>
  <c r="D169" i="8"/>
  <c r="F40" i="7" s="1"/>
  <c r="R168" i="8"/>
  <c r="Q168"/>
  <c r="L167"/>
  <c r="F98" i="7" s="1"/>
  <c r="D167" i="8"/>
  <c r="F38" i="7" s="1"/>
  <c r="L166" i="8"/>
  <c r="F97" i="7" s="1"/>
  <c r="D166" i="8"/>
  <c r="F37" i="7" s="1"/>
  <c r="L165" i="8"/>
  <c r="F96" i="7" s="1"/>
  <c r="D165" i="8"/>
  <c r="F36" i="7" s="1"/>
  <c r="L164" i="8"/>
  <c r="F95" i="7" s="1"/>
  <c r="D164" i="8"/>
  <c r="F35" i="7" s="1"/>
  <c r="L152" i="8"/>
  <c r="E113" i="7" s="1"/>
  <c r="D152" i="8"/>
  <c r="E53" i="7" s="1"/>
  <c r="L151" i="8"/>
  <c r="E112" i="7" s="1"/>
  <c r="D151" i="8"/>
  <c r="E52" i="7" s="1"/>
  <c r="L150" i="8"/>
  <c r="E111" i="7" s="1"/>
  <c r="D150" i="8"/>
  <c r="E51" i="7" s="1"/>
  <c r="L149" i="8"/>
  <c r="E110" i="7" s="1"/>
  <c r="D149" i="8"/>
  <c r="E50" i="7" s="1"/>
  <c r="R148" i="8"/>
  <c r="Q148"/>
  <c r="L147"/>
  <c r="E108" i="7" s="1"/>
  <c r="D147" i="8"/>
  <c r="E48" i="7" s="1"/>
  <c r="L146" i="8"/>
  <c r="D146"/>
  <c r="L145"/>
  <c r="D145"/>
  <c r="L144"/>
  <c r="D144"/>
  <c r="R143"/>
  <c r="Q143"/>
  <c r="L142"/>
  <c r="D142"/>
  <c r="L141"/>
  <c r="D141"/>
  <c r="L140"/>
  <c r="D140"/>
  <c r="L139"/>
  <c r="D139"/>
  <c r="R138"/>
  <c r="Q138"/>
  <c r="L137"/>
  <c r="D137"/>
  <c r="L136"/>
  <c r="D136"/>
  <c r="L135"/>
  <c r="D135"/>
  <c r="L134"/>
  <c r="D134"/>
  <c r="L121"/>
  <c r="D121"/>
  <c r="L120"/>
  <c r="D120"/>
  <c r="L119"/>
  <c r="D119"/>
  <c r="L118"/>
  <c r="D118"/>
  <c r="R117"/>
  <c r="Q117"/>
  <c r="L116"/>
  <c r="D116"/>
  <c r="L115"/>
  <c r="D115"/>
  <c r="L114"/>
  <c r="D114"/>
  <c r="L113"/>
  <c r="D113"/>
  <c r="R112"/>
  <c r="Q112"/>
  <c r="L111"/>
  <c r="D111"/>
  <c r="L110"/>
  <c r="D110"/>
  <c r="L109"/>
  <c r="D109"/>
  <c r="L108"/>
  <c r="D108"/>
  <c r="R107"/>
  <c r="Q107"/>
  <c r="L106"/>
  <c r="D106"/>
  <c r="L105"/>
  <c r="D105"/>
  <c r="L104"/>
  <c r="D104"/>
  <c r="L103"/>
  <c r="D103"/>
  <c r="L90"/>
  <c r="D90"/>
  <c r="L89"/>
  <c r="D89"/>
  <c r="L88"/>
  <c r="D88"/>
  <c r="L87"/>
  <c r="D87"/>
  <c r="R86"/>
  <c r="Q86"/>
  <c r="L85"/>
  <c r="D85"/>
  <c r="L84"/>
  <c r="D84"/>
  <c r="L83"/>
  <c r="D83"/>
  <c r="L82"/>
  <c r="D82"/>
  <c r="R81"/>
  <c r="Q81"/>
  <c r="L80"/>
  <c r="L79"/>
  <c r="L78"/>
  <c r="L77"/>
  <c r="R76"/>
  <c r="Q76"/>
  <c r="L75"/>
  <c r="L74"/>
  <c r="L72"/>
  <c r="L58"/>
  <c r="R55"/>
  <c r="Q55"/>
  <c r="R50"/>
  <c r="Q50"/>
  <c r="R45"/>
  <c r="Q45"/>
  <c r="R23"/>
  <c r="Q23"/>
  <c r="R18"/>
  <c r="Q18"/>
  <c r="R13"/>
  <c r="Q13"/>
  <c r="G109" i="5"/>
  <c r="G104"/>
  <c r="G99"/>
  <c r="F109"/>
  <c r="F104"/>
  <c r="F99"/>
  <c r="E109"/>
  <c r="E104"/>
  <c r="E99"/>
  <c r="D109"/>
  <c r="D104"/>
  <c r="D99"/>
  <c r="C109"/>
  <c r="C104"/>
  <c r="C99"/>
  <c r="B109"/>
  <c r="B104"/>
  <c r="B99"/>
  <c r="H109"/>
  <c r="H104"/>
  <c r="H99"/>
  <c r="G80"/>
  <c r="G75"/>
  <c r="G70"/>
  <c r="F80"/>
  <c r="F75"/>
  <c r="F70"/>
  <c r="E80"/>
  <c r="E75"/>
  <c r="E70"/>
  <c r="D80"/>
  <c r="D75"/>
  <c r="D70"/>
  <c r="C80"/>
  <c r="C75"/>
  <c r="C70"/>
  <c r="B80"/>
  <c r="B75"/>
  <c r="B70"/>
  <c r="H80"/>
  <c r="H75"/>
  <c r="H70"/>
  <c r="H398" i="6"/>
  <c r="G398"/>
  <c r="F398"/>
  <c r="E398"/>
  <c r="C398"/>
  <c r="B398"/>
  <c r="H397"/>
  <c r="G397"/>
  <c r="F397"/>
  <c r="E397"/>
  <c r="C397"/>
  <c r="B397"/>
  <c r="H396"/>
  <c r="G396"/>
  <c r="F396"/>
  <c r="E396"/>
  <c r="C396"/>
  <c r="B396"/>
  <c r="H395"/>
  <c r="G395"/>
  <c r="F395"/>
  <c r="E395"/>
  <c r="C395"/>
  <c r="B395"/>
  <c r="H393"/>
  <c r="G393"/>
  <c r="F393"/>
  <c r="E393"/>
  <c r="C393"/>
  <c r="B393"/>
  <c r="H392"/>
  <c r="G392"/>
  <c r="F392"/>
  <c r="E392"/>
  <c r="C392"/>
  <c r="B392"/>
  <c r="H391"/>
  <c r="G391"/>
  <c r="F391"/>
  <c r="E391"/>
  <c r="C391"/>
  <c r="B391"/>
  <c r="H390"/>
  <c r="G390"/>
  <c r="F390"/>
  <c r="E390"/>
  <c r="C390"/>
  <c r="B390"/>
  <c r="H388"/>
  <c r="G388"/>
  <c r="F388"/>
  <c r="E388"/>
  <c r="C388"/>
  <c r="B388"/>
  <c r="H387"/>
  <c r="G387"/>
  <c r="F387"/>
  <c r="E387"/>
  <c r="C387"/>
  <c r="B387"/>
  <c r="H386"/>
  <c r="G386"/>
  <c r="F386"/>
  <c r="E386"/>
  <c r="C386"/>
  <c r="B386"/>
  <c r="H385"/>
  <c r="G385"/>
  <c r="F385"/>
  <c r="E385"/>
  <c r="C385"/>
  <c r="B385"/>
  <c r="H383"/>
  <c r="G383"/>
  <c r="F383"/>
  <c r="E383"/>
  <c r="C383"/>
  <c r="B383"/>
  <c r="H382"/>
  <c r="G382"/>
  <c r="F382"/>
  <c r="E382"/>
  <c r="C382"/>
  <c r="B382"/>
  <c r="H381"/>
  <c r="G381"/>
  <c r="F381"/>
  <c r="E381"/>
  <c r="C381"/>
  <c r="B381"/>
  <c r="H380"/>
  <c r="G380"/>
  <c r="F380"/>
  <c r="E380"/>
  <c r="C380"/>
  <c r="B380"/>
  <c r="H458"/>
  <c r="G458"/>
  <c r="F458"/>
  <c r="E458"/>
  <c r="C458"/>
  <c r="B458"/>
  <c r="H457"/>
  <c r="G457"/>
  <c r="F457"/>
  <c r="E457"/>
  <c r="C457"/>
  <c r="B457"/>
  <c r="H456"/>
  <c r="G456"/>
  <c r="F456"/>
  <c r="E456"/>
  <c r="C456"/>
  <c r="B456"/>
  <c r="H455"/>
  <c r="G455"/>
  <c r="F455"/>
  <c r="E455"/>
  <c r="C455"/>
  <c r="B455"/>
  <c r="H453"/>
  <c r="G453"/>
  <c r="F453"/>
  <c r="E453"/>
  <c r="C453"/>
  <c r="B453"/>
  <c r="H452"/>
  <c r="G452"/>
  <c r="F452"/>
  <c r="E452"/>
  <c r="C452"/>
  <c r="B452"/>
  <c r="H451"/>
  <c r="G451"/>
  <c r="F451"/>
  <c r="E451"/>
  <c r="C451"/>
  <c r="B451"/>
  <c r="H450"/>
  <c r="G450"/>
  <c r="F450"/>
  <c r="E450"/>
  <c r="C450"/>
  <c r="B450"/>
  <c r="H448"/>
  <c r="G448"/>
  <c r="F448"/>
  <c r="E448"/>
  <c r="C448"/>
  <c r="B448"/>
  <c r="H447"/>
  <c r="G447"/>
  <c r="F447"/>
  <c r="E447"/>
  <c r="C447"/>
  <c r="B447"/>
  <c r="H446"/>
  <c r="G446"/>
  <c r="F446"/>
  <c r="E446"/>
  <c r="C446"/>
  <c r="B446"/>
  <c r="H445"/>
  <c r="G445"/>
  <c r="F445"/>
  <c r="E445"/>
  <c r="C445"/>
  <c r="B445"/>
  <c r="H443"/>
  <c r="G443"/>
  <c r="F443"/>
  <c r="E443"/>
  <c r="C443"/>
  <c r="B443"/>
  <c r="H442"/>
  <c r="G442"/>
  <c r="F442"/>
  <c r="E442"/>
  <c r="C442"/>
  <c r="B442"/>
  <c r="H441"/>
  <c r="G441"/>
  <c r="F441"/>
  <c r="E441"/>
  <c r="C441"/>
  <c r="B441"/>
  <c r="H440"/>
  <c r="G440"/>
  <c r="F440"/>
  <c r="E440"/>
  <c r="C440"/>
  <c r="B440"/>
  <c r="H428"/>
  <c r="G428"/>
  <c r="F428"/>
  <c r="E428"/>
  <c r="C428"/>
  <c r="B428"/>
  <c r="H427"/>
  <c r="G427"/>
  <c r="F427"/>
  <c r="E427"/>
  <c r="C427"/>
  <c r="B427"/>
  <c r="H426"/>
  <c r="G426"/>
  <c r="F426"/>
  <c r="E426"/>
  <c r="C426"/>
  <c r="B426"/>
  <c r="H425"/>
  <c r="G425"/>
  <c r="F425"/>
  <c r="E425"/>
  <c r="C425"/>
  <c r="B425"/>
  <c r="H423"/>
  <c r="G423"/>
  <c r="F423"/>
  <c r="E423"/>
  <c r="C423"/>
  <c r="B423"/>
  <c r="H422"/>
  <c r="G422"/>
  <c r="F422"/>
  <c r="E422"/>
  <c r="C422"/>
  <c r="B422"/>
  <c r="H421"/>
  <c r="G421"/>
  <c r="F421"/>
  <c r="E421"/>
  <c r="C421"/>
  <c r="B421"/>
  <c r="H420"/>
  <c r="G420"/>
  <c r="F420"/>
  <c r="E420"/>
  <c r="C420"/>
  <c r="B420"/>
  <c r="H418"/>
  <c r="G418"/>
  <c r="F418"/>
  <c r="E418"/>
  <c r="C418"/>
  <c r="B418"/>
  <c r="H417"/>
  <c r="G417"/>
  <c r="F417"/>
  <c r="E417"/>
  <c r="C417"/>
  <c r="B417"/>
  <c r="H416"/>
  <c r="G416"/>
  <c r="F416"/>
  <c r="E416"/>
  <c r="C416"/>
  <c r="B416"/>
  <c r="H415"/>
  <c r="G415"/>
  <c r="F415"/>
  <c r="E415"/>
  <c r="C415"/>
  <c r="B415"/>
  <c r="H413"/>
  <c r="G413"/>
  <c r="F413"/>
  <c r="E413"/>
  <c r="C413"/>
  <c r="B413"/>
  <c r="H412"/>
  <c r="G412"/>
  <c r="F412"/>
  <c r="E412"/>
  <c r="C412"/>
  <c r="B412"/>
  <c r="H411"/>
  <c r="G411"/>
  <c r="F411"/>
  <c r="E411"/>
  <c r="C411"/>
  <c r="B411"/>
  <c r="H410"/>
  <c r="G410"/>
  <c r="F410"/>
  <c r="E410"/>
  <c r="C410"/>
  <c r="B410"/>
  <c r="H367"/>
  <c r="G367"/>
  <c r="F367"/>
  <c r="E367"/>
  <c r="C367"/>
  <c r="B367"/>
  <c r="H366"/>
  <c r="G366"/>
  <c r="F366"/>
  <c r="E366"/>
  <c r="C366"/>
  <c r="B366"/>
  <c r="H365"/>
  <c r="G365"/>
  <c r="F365"/>
  <c r="E365"/>
  <c r="C365"/>
  <c r="B365"/>
  <c r="H364"/>
  <c r="G364"/>
  <c r="F364"/>
  <c r="E364"/>
  <c r="C364"/>
  <c r="B364"/>
  <c r="H362"/>
  <c r="G362"/>
  <c r="F362"/>
  <c r="E362"/>
  <c r="C362"/>
  <c r="B362"/>
  <c r="H361"/>
  <c r="G361"/>
  <c r="F361"/>
  <c r="E361"/>
  <c r="C361"/>
  <c r="B361"/>
  <c r="H360"/>
  <c r="G360"/>
  <c r="F360"/>
  <c r="E360"/>
  <c r="C360"/>
  <c r="B360"/>
  <c r="H359"/>
  <c r="G359"/>
  <c r="F359"/>
  <c r="E359"/>
  <c r="C359"/>
  <c r="B359"/>
  <c r="H357"/>
  <c r="G357"/>
  <c r="F357"/>
  <c r="E357"/>
  <c r="C357"/>
  <c r="B357"/>
  <c r="H356"/>
  <c r="G356"/>
  <c r="F356"/>
  <c r="E356"/>
  <c r="C356"/>
  <c r="B356"/>
  <c r="H355"/>
  <c r="G355"/>
  <c r="F355"/>
  <c r="E355"/>
  <c r="C355"/>
  <c r="B355"/>
  <c r="H354"/>
  <c r="G354"/>
  <c r="F354"/>
  <c r="E354"/>
  <c r="C354"/>
  <c r="B354"/>
  <c r="H352"/>
  <c r="G352"/>
  <c r="F352"/>
  <c r="E352"/>
  <c r="C352"/>
  <c r="B352"/>
  <c r="H351"/>
  <c r="G351"/>
  <c r="F351"/>
  <c r="E351"/>
  <c r="C351"/>
  <c r="B351"/>
  <c r="H350"/>
  <c r="G350"/>
  <c r="F350"/>
  <c r="E350"/>
  <c r="C350"/>
  <c r="B350"/>
  <c r="H349"/>
  <c r="G349"/>
  <c r="F349"/>
  <c r="E349"/>
  <c r="C349"/>
  <c r="B349"/>
  <c r="H337"/>
  <c r="G337"/>
  <c r="F337"/>
  <c r="E337"/>
  <c r="C337"/>
  <c r="B337"/>
  <c r="H336"/>
  <c r="G336"/>
  <c r="F336"/>
  <c r="E336"/>
  <c r="C336"/>
  <c r="B336"/>
  <c r="H335"/>
  <c r="G335"/>
  <c r="F335"/>
  <c r="E335"/>
  <c r="C335"/>
  <c r="B335"/>
  <c r="H334"/>
  <c r="G334"/>
  <c r="F334"/>
  <c r="E334"/>
  <c r="C334"/>
  <c r="B334"/>
  <c r="H332"/>
  <c r="G332"/>
  <c r="F332"/>
  <c r="E332"/>
  <c r="C332"/>
  <c r="B332"/>
  <c r="H331"/>
  <c r="G331"/>
  <c r="F331"/>
  <c r="E331"/>
  <c r="C331"/>
  <c r="B331"/>
  <c r="H330"/>
  <c r="G330"/>
  <c r="F330"/>
  <c r="E330"/>
  <c r="C330"/>
  <c r="B330"/>
  <c r="H329"/>
  <c r="G329"/>
  <c r="F329"/>
  <c r="E329"/>
  <c r="C329"/>
  <c r="B329"/>
  <c r="H327"/>
  <c r="G327"/>
  <c r="F327"/>
  <c r="E327"/>
  <c r="C327"/>
  <c r="B327"/>
  <c r="H326"/>
  <c r="G326"/>
  <c r="F326"/>
  <c r="E326"/>
  <c r="C326"/>
  <c r="B326"/>
  <c r="H325"/>
  <c r="G325"/>
  <c r="F325"/>
  <c r="E325"/>
  <c r="C325"/>
  <c r="B325"/>
  <c r="H324"/>
  <c r="G324"/>
  <c r="F324"/>
  <c r="E324"/>
  <c r="C324"/>
  <c r="B324"/>
  <c r="H322"/>
  <c r="G322"/>
  <c r="F322"/>
  <c r="E322"/>
  <c r="C322"/>
  <c r="B322"/>
  <c r="H321"/>
  <c r="G321"/>
  <c r="F321"/>
  <c r="E321"/>
  <c r="C321"/>
  <c r="B321"/>
  <c r="H320"/>
  <c r="G320"/>
  <c r="F320"/>
  <c r="E320"/>
  <c r="C320"/>
  <c r="B320"/>
  <c r="H319"/>
  <c r="G319"/>
  <c r="F319"/>
  <c r="E319"/>
  <c r="C319"/>
  <c r="B319"/>
  <c r="H306"/>
  <c r="G306"/>
  <c r="F306"/>
  <c r="E306"/>
  <c r="C306"/>
  <c r="B306"/>
  <c r="H305"/>
  <c r="G305"/>
  <c r="F305"/>
  <c r="E305"/>
  <c r="C305"/>
  <c r="B305"/>
  <c r="H304"/>
  <c r="G304"/>
  <c r="F304"/>
  <c r="E304"/>
  <c r="C304"/>
  <c r="B304"/>
  <c r="H303"/>
  <c r="G303"/>
  <c r="F303"/>
  <c r="E303"/>
  <c r="C303"/>
  <c r="B303"/>
  <c r="H301"/>
  <c r="G301"/>
  <c r="F301"/>
  <c r="E301"/>
  <c r="C301"/>
  <c r="B301"/>
  <c r="H300"/>
  <c r="G300"/>
  <c r="F300"/>
  <c r="E300"/>
  <c r="C300"/>
  <c r="B300"/>
  <c r="H299"/>
  <c r="G299"/>
  <c r="F299"/>
  <c r="E299"/>
  <c r="C299"/>
  <c r="B299"/>
  <c r="H298"/>
  <c r="G298"/>
  <c r="F298"/>
  <c r="E298"/>
  <c r="C298"/>
  <c r="B298"/>
  <c r="H296"/>
  <c r="G296"/>
  <c r="F296"/>
  <c r="E296"/>
  <c r="C296"/>
  <c r="B296"/>
  <c r="H295"/>
  <c r="G295"/>
  <c r="F295"/>
  <c r="E295"/>
  <c r="C295"/>
  <c r="B295"/>
  <c r="H294"/>
  <c r="G294"/>
  <c r="F294"/>
  <c r="E294"/>
  <c r="C294"/>
  <c r="B294"/>
  <c r="H293"/>
  <c r="G293"/>
  <c r="F293"/>
  <c r="E293"/>
  <c r="C293"/>
  <c r="B293"/>
  <c r="H291"/>
  <c r="G291"/>
  <c r="F291"/>
  <c r="E291"/>
  <c r="C291"/>
  <c r="B291"/>
  <c r="H290"/>
  <c r="G290"/>
  <c r="F290"/>
  <c r="E290"/>
  <c r="C290"/>
  <c r="B290"/>
  <c r="H289"/>
  <c r="G289"/>
  <c r="F289"/>
  <c r="E289"/>
  <c r="C289"/>
  <c r="B289"/>
  <c r="H288"/>
  <c r="G288"/>
  <c r="F288"/>
  <c r="E288"/>
  <c r="C288"/>
  <c r="B288"/>
  <c r="H275"/>
  <c r="G275"/>
  <c r="F275"/>
  <c r="E275"/>
  <c r="C275"/>
  <c r="B275"/>
  <c r="H274"/>
  <c r="G274"/>
  <c r="F274"/>
  <c r="E274"/>
  <c r="C274"/>
  <c r="B274"/>
  <c r="H273"/>
  <c r="G273"/>
  <c r="F273"/>
  <c r="E273"/>
  <c r="C273"/>
  <c r="B273"/>
  <c r="H272"/>
  <c r="G272"/>
  <c r="F272"/>
  <c r="E272"/>
  <c r="C272"/>
  <c r="B272"/>
  <c r="H270"/>
  <c r="G270"/>
  <c r="F270"/>
  <c r="E270"/>
  <c r="C270"/>
  <c r="B270"/>
  <c r="H269"/>
  <c r="G269"/>
  <c r="F269"/>
  <c r="E269"/>
  <c r="C269"/>
  <c r="B269"/>
  <c r="H268"/>
  <c r="G268"/>
  <c r="F268"/>
  <c r="E268"/>
  <c r="C268"/>
  <c r="B268"/>
  <c r="H267"/>
  <c r="G267"/>
  <c r="F267"/>
  <c r="E267"/>
  <c r="C267"/>
  <c r="B267"/>
  <c r="H265"/>
  <c r="G265"/>
  <c r="F265"/>
  <c r="E265"/>
  <c r="C265"/>
  <c r="B265"/>
  <c r="H264"/>
  <c r="G264"/>
  <c r="F264"/>
  <c r="E264"/>
  <c r="C264"/>
  <c r="B264"/>
  <c r="H263"/>
  <c r="G263"/>
  <c r="F263"/>
  <c r="E263"/>
  <c r="C263"/>
  <c r="B263"/>
  <c r="H262"/>
  <c r="G262"/>
  <c r="F262"/>
  <c r="E262"/>
  <c r="C262"/>
  <c r="B262"/>
  <c r="H260"/>
  <c r="G260"/>
  <c r="F260"/>
  <c r="E260"/>
  <c r="C260"/>
  <c r="B260"/>
  <c r="H259"/>
  <c r="G259"/>
  <c r="F259"/>
  <c r="E259"/>
  <c r="C259"/>
  <c r="B259"/>
  <c r="H258"/>
  <c r="G258"/>
  <c r="F258"/>
  <c r="E258"/>
  <c r="C258"/>
  <c r="B258"/>
  <c r="H257"/>
  <c r="G257"/>
  <c r="F257"/>
  <c r="E257"/>
  <c r="C257"/>
  <c r="B257"/>
  <c r="H244"/>
  <c r="G244"/>
  <c r="F244"/>
  <c r="E244"/>
  <c r="C244"/>
  <c r="B244"/>
  <c r="H243"/>
  <c r="G243"/>
  <c r="F243"/>
  <c r="E243"/>
  <c r="C243"/>
  <c r="B243"/>
  <c r="H242"/>
  <c r="G242"/>
  <c r="F242"/>
  <c r="E242"/>
  <c r="C242"/>
  <c r="B242"/>
  <c r="H241"/>
  <c r="G241"/>
  <c r="F241"/>
  <c r="E241"/>
  <c r="C241"/>
  <c r="B241"/>
  <c r="H239"/>
  <c r="G239"/>
  <c r="F239"/>
  <c r="E239"/>
  <c r="C239"/>
  <c r="B239"/>
  <c r="H238"/>
  <c r="G238"/>
  <c r="F238"/>
  <c r="E238"/>
  <c r="C238"/>
  <c r="B238"/>
  <c r="H237"/>
  <c r="G237"/>
  <c r="F237"/>
  <c r="E237"/>
  <c r="C237"/>
  <c r="B237"/>
  <c r="H236"/>
  <c r="G236"/>
  <c r="F236"/>
  <c r="E236"/>
  <c r="C236"/>
  <c r="B236"/>
  <c r="H234"/>
  <c r="G234"/>
  <c r="F234"/>
  <c r="E234"/>
  <c r="C234"/>
  <c r="B234"/>
  <c r="H233"/>
  <c r="G233"/>
  <c r="F233"/>
  <c r="E233"/>
  <c r="C233"/>
  <c r="B233"/>
  <c r="H232"/>
  <c r="G232"/>
  <c r="F232"/>
  <c r="E232"/>
  <c r="C232"/>
  <c r="B232"/>
  <c r="H231"/>
  <c r="G231"/>
  <c r="F231"/>
  <c r="E231"/>
  <c r="C231"/>
  <c r="B231"/>
  <c r="H229"/>
  <c r="G229"/>
  <c r="F229"/>
  <c r="E229"/>
  <c r="C229"/>
  <c r="B229"/>
  <c r="H228"/>
  <c r="G228"/>
  <c r="F228"/>
  <c r="E228"/>
  <c r="C228"/>
  <c r="B228"/>
  <c r="H227"/>
  <c r="G227"/>
  <c r="F227"/>
  <c r="E227"/>
  <c r="C227"/>
  <c r="B227"/>
  <c r="H226"/>
  <c r="G226"/>
  <c r="F226"/>
  <c r="E226"/>
  <c r="C226"/>
  <c r="B226"/>
  <c r="P213"/>
  <c r="O213"/>
  <c r="N213"/>
  <c r="M213"/>
  <c r="K213"/>
  <c r="J213"/>
  <c r="H213"/>
  <c r="G213"/>
  <c r="F213"/>
  <c r="E213"/>
  <c r="C213"/>
  <c r="B213"/>
  <c r="P212"/>
  <c r="O212"/>
  <c r="N212"/>
  <c r="M212"/>
  <c r="K212"/>
  <c r="J212"/>
  <c r="H212"/>
  <c r="G212"/>
  <c r="F212"/>
  <c r="E212"/>
  <c r="C212"/>
  <c r="B212"/>
  <c r="P211"/>
  <c r="O211"/>
  <c r="N211"/>
  <c r="M211"/>
  <c r="K211"/>
  <c r="J211"/>
  <c r="H211"/>
  <c r="G211"/>
  <c r="F211"/>
  <c r="E211"/>
  <c r="C211"/>
  <c r="B211"/>
  <c r="P210"/>
  <c r="O210"/>
  <c r="N210"/>
  <c r="M210"/>
  <c r="K210"/>
  <c r="J210"/>
  <c r="H210"/>
  <c r="G210"/>
  <c r="F210"/>
  <c r="E210"/>
  <c r="C210"/>
  <c r="B210"/>
  <c r="P208"/>
  <c r="O208"/>
  <c r="N208"/>
  <c r="M208"/>
  <c r="K208"/>
  <c r="J208"/>
  <c r="H208"/>
  <c r="G208"/>
  <c r="F208"/>
  <c r="E208"/>
  <c r="C208"/>
  <c r="B208"/>
  <c r="P207"/>
  <c r="O207"/>
  <c r="N207"/>
  <c r="M207"/>
  <c r="K207"/>
  <c r="J207"/>
  <c r="H207"/>
  <c r="G207"/>
  <c r="F207"/>
  <c r="E207"/>
  <c r="C207"/>
  <c r="B207"/>
  <c r="P206"/>
  <c r="O206"/>
  <c r="N206"/>
  <c r="M206"/>
  <c r="K206"/>
  <c r="J206"/>
  <c r="H206"/>
  <c r="G206"/>
  <c r="F206"/>
  <c r="E206"/>
  <c r="C206"/>
  <c r="B206"/>
  <c r="P205"/>
  <c r="O205"/>
  <c r="N205"/>
  <c r="M205"/>
  <c r="K205"/>
  <c r="J205"/>
  <c r="H205"/>
  <c r="G205"/>
  <c r="F205"/>
  <c r="E205"/>
  <c r="C205"/>
  <c r="B205"/>
  <c r="P203"/>
  <c r="O203"/>
  <c r="N203"/>
  <c r="M203"/>
  <c r="K203"/>
  <c r="J203"/>
  <c r="H203"/>
  <c r="G203"/>
  <c r="F203"/>
  <c r="E203"/>
  <c r="C203"/>
  <c r="B203"/>
  <c r="P202"/>
  <c r="O202"/>
  <c r="N202"/>
  <c r="M202"/>
  <c r="K202"/>
  <c r="J202"/>
  <c r="H202"/>
  <c r="G202"/>
  <c r="F202"/>
  <c r="E202"/>
  <c r="C202"/>
  <c r="B202"/>
  <c r="P201"/>
  <c r="O201"/>
  <c r="N201"/>
  <c r="M201"/>
  <c r="K201"/>
  <c r="J201"/>
  <c r="H201"/>
  <c r="G201"/>
  <c r="F201"/>
  <c r="E201"/>
  <c r="C201"/>
  <c r="B201"/>
  <c r="P200"/>
  <c r="O200"/>
  <c r="N200"/>
  <c r="M200"/>
  <c r="K200"/>
  <c r="J200"/>
  <c r="H200"/>
  <c r="G200"/>
  <c r="F200"/>
  <c r="E200"/>
  <c r="C200"/>
  <c r="B200"/>
  <c r="P198"/>
  <c r="O198"/>
  <c r="N198"/>
  <c r="M198"/>
  <c r="K198"/>
  <c r="J198"/>
  <c r="H198"/>
  <c r="G198"/>
  <c r="F198"/>
  <c r="E198"/>
  <c r="C198"/>
  <c r="B198"/>
  <c r="P197"/>
  <c r="O197"/>
  <c r="N197"/>
  <c r="M197"/>
  <c r="K197"/>
  <c r="J197"/>
  <c r="H197"/>
  <c r="G197"/>
  <c r="F197"/>
  <c r="E197"/>
  <c r="C197"/>
  <c r="B197"/>
  <c r="P196"/>
  <c r="O196"/>
  <c r="N196"/>
  <c r="M196"/>
  <c r="K196"/>
  <c r="J196"/>
  <c r="H196"/>
  <c r="G196"/>
  <c r="F196"/>
  <c r="E196"/>
  <c r="C196"/>
  <c r="B196"/>
  <c r="P195"/>
  <c r="O195"/>
  <c r="N195"/>
  <c r="M195"/>
  <c r="K195"/>
  <c r="J195"/>
  <c r="H195"/>
  <c r="G195"/>
  <c r="F195"/>
  <c r="E195"/>
  <c r="C195"/>
  <c r="B195"/>
  <c r="P182"/>
  <c r="O182"/>
  <c r="N182"/>
  <c r="M182"/>
  <c r="K182"/>
  <c r="J182"/>
  <c r="H182"/>
  <c r="G182"/>
  <c r="F182"/>
  <c r="E182"/>
  <c r="C182"/>
  <c r="B182"/>
  <c r="P181"/>
  <c r="O181"/>
  <c r="N181"/>
  <c r="M181"/>
  <c r="K181"/>
  <c r="J181"/>
  <c r="H181"/>
  <c r="G181"/>
  <c r="F181"/>
  <c r="E181"/>
  <c r="C181"/>
  <c r="B181"/>
  <c r="P180"/>
  <c r="O180"/>
  <c r="N180"/>
  <c r="M180"/>
  <c r="K180"/>
  <c r="J180"/>
  <c r="H180"/>
  <c r="G180"/>
  <c r="F180"/>
  <c r="E180"/>
  <c r="C180"/>
  <c r="B180"/>
  <c r="P179"/>
  <c r="O179"/>
  <c r="N179"/>
  <c r="M179"/>
  <c r="K179"/>
  <c r="J179"/>
  <c r="H179"/>
  <c r="G179"/>
  <c r="F179"/>
  <c r="E179"/>
  <c r="C179"/>
  <c r="B179"/>
  <c r="P177"/>
  <c r="O177"/>
  <c r="N177"/>
  <c r="M177"/>
  <c r="K177"/>
  <c r="J177"/>
  <c r="H177"/>
  <c r="G177"/>
  <c r="F177"/>
  <c r="E177"/>
  <c r="C177"/>
  <c r="B177"/>
  <c r="P176"/>
  <c r="O176"/>
  <c r="N176"/>
  <c r="M176"/>
  <c r="K176"/>
  <c r="J176"/>
  <c r="H176"/>
  <c r="G176"/>
  <c r="F176"/>
  <c r="E176"/>
  <c r="C176"/>
  <c r="B176"/>
  <c r="P175"/>
  <c r="O175"/>
  <c r="N175"/>
  <c r="M175"/>
  <c r="K175"/>
  <c r="J175"/>
  <c r="H175"/>
  <c r="G175"/>
  <c r="F175"/>
  <c r="E175"/>
  <c r="C175"/>
  <c r="B175"/>
  <c r="P174"/>
  <c r="O174"/>
  <c r="N174"/>
  <c r="M174"/>
  <c r="K174"/>
  <c r="J174"/>
  <c r="H174"/>
  <c r="G174"/>
  <c r="F174"/>
  <c r="E174"/>
  <c r="C174"/>
  <c r="B174"/>
  <c r="P172"/>
  <c r="O172"/>
  <c r="N172"/>
  <c r="M172"/>
  <c r="K172"/>
  <c r="J172"/>
  <c r="H172"/>
  <c r="G172"/>
  <c r="F172"/>
  <c r="E172"/>
  <c r="C172"/>
  <c r="B172"/>
  <c r="P171"/>
  <c r="O171"/>
  <c r="N171"/>
  <c r="M171"/>
  <c r="K171"/>
  <c r="J171"/>
  <c r="H171"/>
  <c r="G171"/>
  <c r="F171"/>
  <c r="E171"/>
  <c r="C171"/>
  <c r="B171"/>
  <c r="P170"/>
  <c r="O170"/>
  <c r="N170"/>
  <c r="M170"/>
  <c r="K170"/>
  <c r="J170"/>
  <c r="H170"/>
  <c r="G170"/>
  <c r="F170"/>
  <c r="E170"/>
  <c r="C170"/>
  <c r="B170"/>
  <c r="P169"/>
  <c r="O169"/>
  <c r="N169"/>
  <c r="M169"/>
  <c r="K169"/>
  <c r="J169"/>
  <c r="H169"/>
  <c r="G169"/>
  <c r="F169"/>
  <c r="E169"/>
  <c r="C169"/>
  <c r="B169"/>
  <c r="P167"/>
  <c r="O167"/>
  <c r="N167"/>
  <c r="M167"/>
  <c r="K167"/>
  <c r="J167"/>
  <c r="H167"/>
  <c r="G167"/>
  <c r="F167"/>
  <c r="E167"/>
  <c r="C167"/>
  <c r="B167"/>
  <c r="P166"/>
  <c r="O166"/>
  <c r="N166"/>
  <c r="M166"/>
  <c r="K166"/>
  <c r="J166"/>
  <c r="H166"/>
  <c r="G166"/>
  <c r="F166"/>
  <c r="E166"/>
  <c r="C166"/>
  <c r="B166"/>
  <c r="P165"/>
  <c r="O165"/>
  <c r="N165"/>
  <c r="M165"/>
  <c r="K165"/>
  <c r="J165"/>
  <c r="H165"/>
  <c r="G165"/>
  <c r="F165"/>
  <c r="E165"/>
  <c r="C165"/>
  <c r="B165"/>
  <c r="P164"/>
  <c r="O164"/>
  <c r="N164"/>
  <c r="M164"/>
  <c r="K164"/>
  <c r="J164"/>
  <c r="H164"/>
  <c r="G164"/>
  <c r="F164"/>
  <c r="E164"/>
  <c r="C164"/>
  <c r="B164"/>
  <c r="P152"/>
  <c r="O152"/>
  <c r="N152"/>
  <c r="M152"/>
  <c r="K152"/>
  <c r="J152"/>
  <c r="H152"/>
  <c r="G152"/>
  <c r="F152"/>
  <c r="E152"/>
  <c r="C152"/>
  <c r="B152"/>
  <c r="P151"/>
  <c r="O151"/>
  <c r="N151"/>
  <c r="M151"/>
  <c r="K151"/>
  <c r="J151"/>
  <c r="H151"/>
  <c r="G151"/>
  <c r="F151"/>
  <c r="E151"/>
  <c r="C151"/>
  <c r="B151"/>
  <c r="P150"/>
  <c r="O150"/>
  <c r="N150"/>
  <c r="M150"/>
  <c r="K150"/>
  <c r="J150"/>
  <c r="H150"/>
  <c r="G150"/>
  <c r="F150"/>
  <c r="E150"/>
  <c r="C150"/>
  <c r="B150"/>
  <c r="P149"/>
  <c r="O149"/>
  <c r="N149"/>
  <c r="M149"/>
  <c r="K149"/>
  <c r="J149"/>
  <c r="H149"/>
  <c r="G149"/>
  <c r="F149"/>
  <c r="E149"/>
  <c r="C149"/>
  <c r="B149"/>
  <c r="P147"/>
  <c r="O147"/>
  <c r="N147"/>
  <c r="M147"/>
  <c r="K147"/>
  <c r="J147"/>
  <c r="H147"/>
  <c r="G147"/>
  <c r="F147"/>
  <c r="E147"/>
  <c r="C147"/>
  <c r="B147"/>
  <c r="P146"/>
  <c r="O146"/>
  <c r="N146"/>
  <c r="M146"/>
  <c r="K146"/>
  <c r="J146"/>
  <c r="H146"/>
  <c r="G146"/>
  <c r="F146"/>
  <c r="E146"/>
  <c r="C146"/>
  <c r="B146"/>
  <c r="P145"/>
  <c r="O145"/>
  <c r="N145"/>
  <c r="M145"/>
  <c r="K145"/>
  <c r="J145"/>
  <c r="H145"/>
  <c r="G145"/>
  <c r="F145"/>
  <c r="E145"/>
  <c r="C145"/>
  <c r="B145"/>
  <c r="P144"/>
  <c r="O144"/>
  <c r="N144"/>
  <c r="M144"/>
  <c r="K144"/>
  <c r="J144"/>
  <c r="H144"/>
  <c r="G144"/>
  <c r="F144"/>
  <c r="E144"/>
  <c r="C144"/>
  <c r="B144"/>
  <c r="P142"/>
  <c r="O142"/>
  <c r="N142"/>
  <c r="M142"/>
  <c r="K142"/>
  <c r="J142"/>
  <c r="H142"/>
  <c r="G142"/>
  <c r="F142"/>
  <c r="E142"/>
  <c r="C142"/>
  <c r="B142"/>
  <c r="P141"/>
  <c r="O141"/>
  <c r="N141"/>
  <c r="M141"/>
  <c r="K141"/>
  <c r="J141"/>
  <c r="H141"/>
  <c r="G141"/>
  <c r="F141"/>
  <c r="E141"/>
  <c r="C141"/>
  <c r="B141"/>
  <c r="P140"/>
  <c r="O140"/>
  <c r="N140"/>
  <c r="M140"/>
  <c r="K140"/>
  <c r="J140"/>
  <c r="H140"/>
  <c r="G140"/>
  <c r="F140"/>
  <c r="E140"/>
  <c r="C140"/>
  <c r="B140"/>
  <c r="P139"/>
  <c r="O139"/>
  <c r="N139"/>
  <c r="M139"/>
  <c r="K139"/>
  <c r="J139"/>
  <c r="H139"/>
  <c r="G139"/>
  <c r="F139"/>
  <c r="E139"/>
  <c r="C139"/>
  <c r="B139"/>
  <c r="P137"/>
  <c r="O137"/>
  <c r="N137"/>
  <c r="M137"/>
  <c r="K137"/>
  <c r="J137"/>
  <c r="H137"/>
  <c r="G137"/>
  <c r="F137"/>
  <c r="E137"/>
  <c r="C137"/>
  <c r="B137"/>
  <c r="P136"/>
  <c r="O136"/>
  <c r="N136"/>
  <c r="M136"/>
  <c r="K136"/>
  <c r="J136"/>
  <c r="H136"/>
  <c r="G136"/>
  <c r="F136"/>
  <c r="E136"/>
  <c r="C136"/>
  <c r="B136"/>
  <c r="P135"/>
  <c r="O135"/>
  <c r="N135"/>
  <c r="M135"/>
  <c r="K135"/>
  <c r="J135"/>
  <c r="H135"/>
  <c r="G135"/>
  <c r="F135"/>
  <c r="E135"/>
  <c r="C135"/>
  <c r="B135"/>
  <c r="P134"/>
  <c r="O134"/>
  <c r="N134"/>
  <c r="M134"/>
  <c r="K134"/>
  <c r="J134"/>
  <c r="H134"/>
  <c r="G134"/>
  <c r="F134"/>
  <c r="E134"/>
  <c r="C134"/>
  <c r="B134"/>
  <c r="P121"/>
  <c r="O121"/>
  <c r="N121"/>
  <c r="M121"/>
  <c r="K121"/>
  <c r="J121"/>
  <c r="H121"/>
  <c r="G121"/>
  <c r="F121"/>
  <c r="E121"/>
  <c r="C121"/>
  <c r="B121"/>
  <c r="P120"/>
  <c r="O120"/>
  <c r="N120"/>
  <c r="M120"/>
  <c r="K120"/>
  <c r="J120"/>
  <c r="H120"/>
  <c r="G120"/>
  <c r="F120"/>
  <c r="E120"/>
  <c r="C120"/>
  <c r="B120"/>
  <c r="P119"/>
  <c r="O119"/>
  <c r="N119"/>
  <c r="M119"/>
  <c r="K119"/>
  <c r="J119"/>
  <c r="H119"/>
  <c r="G119"/>
  <c r="F119"/>
  <c r="E119"/>
  <c r="C119"/>
  <c r="B119"/>
  <c r="P118"/>
  <c r="O118"/>
  <c r="N118"/>
  <c r="M118"/>
  <c r="K118"/>
  <c r="J118"/>
  <c r="H118"/>
  <c r="G118"/>
  <c r="F118"/>
  <c r="E118"/>
  <c r="C118"/>
  <c r="B118"/>
  <c r="P116"/>
  <c r="O116"/>
  <c r="N116"/>
  <c r="M116"/>
  <c r="K116"/>
  <c r="J116"/>
  <c r="H116"/>
  <c r="G116"/>
  <c r="F116"/>
  <c r="E116"/>
  <c r="C116"/>
  <c r="B116"/>
  <c r="P115"/>
  <c r="O115"/>
  <c r="N115"/>
  <c r="M115"/>
  <c r="K115"/>
  <c r="J115"/>
  <c r="H115"/>
  <c r="G115"/>
  <c r="F115"/>
  <c r="E115"/>
  <c r="C115"/>
  <c r="B115"/>
  <c r="P114"/>
  <c r="O114"/>
  <c r="N114"/>
  <c r="M114"/>
  <c r="K114"/>
  <c r="J114"/>
  <c r="H114"/>
  <c r="G114"/>
  <c r="F114"/>
  <c r="E114"/>
  <c r="C114"/>
  <c r="B114"/>
  <c r="P113"/>
  <c r="O113"/>
  <c r="N113"/>
  <c r="M113"/>
  <c r="K113"/>
  <c r="J113"/>
  <c r="H113"/>
  <c r="G113"/>
  <c r="F113"/>
  <c r="E113"/>
  <c r="C113"/>
  <c r="B113"/>
  <c r="P111"/>
  <c r="O111"/>
  <c r="N111"/>
  <c r="M111"/>
  <c r="K111"/>
  <c r="J111"/>
  <c r="H111"/>
  <c r="G111"/>
  <c r="F111"/>
  <c r="E111"/>
  <c r="C111"/>
  <c r="B111"/>
  <c r="P110"/>
  <c r="O110"/>
  <c r="N110"/>
  <c r="M110"/>
  <c r="K110"/>
  <c r="J110"/>
  <c r="H110"/>
  <c r="G110"/>
  <c r="F110"/>
  <c r="E110"/>
  <c r="C110"/>
  <c r="B110"/>
  <c r="P109"/>
  <c r="O109"/>
  <c r="N109"/>
  <c r="M109"/>
  <c r="K109"/>
  <c r="J109"/>
  <c r="H109"/>
  <c r="G109"/>
  <c r="F109"/>
  <c r="E109"/>
  <c r="C109"/>
  <c r="B109"/>
  <c r="P108"/>
  <c r="O108"/>
  <c r="N108"/>
  <c r="M108"/>
  <c r="K108"/>
  <c r="J108"/>
  <c r="H108"/>
  <c r="G108"/>
  <c r="F108"/>
  <c r="E108"/>
  <c r="C108"/>
  <c r="B108"/>
  <c r="P106"/>
  <c r="O106"/>
  <c r="N106"/>
  <c r="M106"/>
  <c r="K106"/>
  <c r="J106"/>
  <c r="H106"/>
  <c r="G106"/>
  <c r="F106"/>
  <c r="E106"/>
  <c r="C106"/>
  <c r="B106"/>
  <c r="P105"/>
  <c r="O105"/>
  <c r="N105"/>
  <c r="M105"/>
  <c r="K105"/>
  <c r="J105"/>
  <c r="H105"/>
  <c r="G105"/>
  <c r="F105"/>
  <c r="E105"/>
  <c r="C105"/>
  <c r="B105"/>
  <c r="P104"/>
  <c r="O104"/>
  <c r="N104"/>
  <c r="M104"/>
  <c r="K104"/>
  <c r="J104"/>
  <c r="H104"/>
  <c r="G104"/>
  <c r="F104"/>
  <c r="E104"/>
  <c r="C104"/>
  <c r="B104"/>
  <c r="P103"/>
  <c r="O103"/>
  <c r="N103"/>
  <c r="M103"/>
  <c r="K103"/>
  <c r="J103"/>
  <c r="H103"/>
  <c r="G103"/>
  <c r="F103"/>
  <c r="E103"/>
  <c r="C103"/>
  <c r="B103"/>
  <c r="P90"/>
  <c r="O90"/>
  <c r="N90"/>
  <c r="M90"/>
  <c r="K90"/>
  <c r="J90"/>
  <c r="H90"/>
  <c r="G90"/>
  <c r="F90"/>
  <c r="E90"/>
  <c r="C90"/>
  <c r="B90"/>
  <c r="P89"/>
  <c r="O89"/>
  <c r="N89"/>
  <c r="M89"/>
  <c r="K89"/>
  <c r="J89"/>
  <c r="H89"/>
  <c r="G89"/>
  <c r="F89"/>
  <c r="E89"/>
  <c r="C89"/>
  <c r="B89"/>
  <c r="P88"/>
  <c r="O88"/>
  <c r="N88"/>
  <c r="M88"/>
  <c r="K88"/>
  <c r="J88"/>
  <c r="H88"/>
  <c r="G88"/>
  <c r="F88"/>
  <c r="E88"/>
  <c r="C88"/>
  <c r="B88"/>
  <c r="P87"/>
  <c r="O87"/>
  <c r="N87"/>
  <c r="M87"/>
  <c r="K87"/>
  <c r="J87"/>
  <c r="H87"/>
  <c r="G87"/>
  <c r="F87"/>
  <c r="E87"/>
  <c r="C87"/>
  <c r="B87"/>
  <c r="P85"/>
  <c r="O85"/>
  <c r="N85"/>
  <c r="M85"/>
  <c r="K85"/>
  <c r="J85"/>
  <c r="H85"/>
  <c r="G85"/>
  <c r="F85"/>
  <c r="E85"/>
  <c r="C85"/>
  <c r="B85"/>
  <c r="P84"/>
  <c r="O84"/>
  <c r="N84"/>
  <c r="M84"/>
  <c r="K84"/>
  <c r="J84"/>
  <c r="H84"/>
  <c r="G84"/>
  <c r="F84"/>
  <c r="E84"/>
  <c r="C84"/>
  <c r="B84"/>
  <c r="P83"/>
  <c r="O83"/>
  <c r="N83"/>
  <c r="M83"/>
  <c r="K83"/>
  <c r="J83"/>
  <c r="H83"/>
  <c r="G83"/>
  <c r="F83"/>
  <c r="E83"/>
  <c r="C83"/>
  <c r="B83"/>
  <c r="P82"/>
  <c r="O82"/>
  <c r="N82"/>
  <c r="M82"/>
  <c r="K82"/>
  <c r="J82"/>
  <c r="H82"/>
  <c r="G82"/>
  <c r="F82"/>
  <c r="E82"/>
  <c r="C82"/>
  <c r="B82"/>
  <c r="P80"/>
  <c r="O80"/>
  <c r="N80"/>
  <c r="M80"/>
  <c r="K80"/>
  <c r="J80"/>
  <c r="H80"/>
  <c r="G80"/>
  <c r="F80"/>
  <c r="E80"/>
  <c r="C80"/>
  <c r="B80"/>
  <c r="P79"/>
  <c r="O79"/>
  <c r="N79"/>
  <c r="M79"/>
  <c r="K79"/>
  <c r="J79"/>
  <c r="H79"/>
  <c r="G79"/>
  <c r="F79"/>
  <c r="E79"/>
  <c r="C79"/>
  <c r="B79"/>
  <c r="P78"/>
  <c r="O78"/>
  <c r="N78"/>
  <c r="M78"/>
  <c r="K78"/>
  <c r="J78"/>
  <c r="H78"/>
  <c r="G78"/>
  <c r="F78"/>
  <c r="E78"/>
  <c r="C78"/>
  <c r="B78"/>
  <c r="P77"/>
  <c r="O77"/>
  <c r="N77"/>
  <c r="M77"/>
  <c r="K77"/>
  <c r="J77"/>
  <c r="H77"/>
  <c r="G77"/>
  <c r="F77"/>
  <c r="E77"/>
  <c r="C77"/>
  <c r="B77"/>
  <c r="P75"/>
  <c r="O75"/>
  <c r="N75"/>
  <c r="M75"/>
  <c r="K75"/>
  <c r="J75"/>
  <c r="H75"/>
  <c r="G75"/>
  <c r="F75"/>
  <c r="E75"/>
  <c r="C75"/>
  <c r="B75"/>
  <c r="P74"/>
  <c r="O74"/>
  <c r="N74"/>
  <c r="M74"/>
  <c r="K74"/>
  <c r="J74"/>
  <c r="H74"/>
  <c r="G74"/>
  <c r="F74"/>
  <c r="E74"/>
  <c r="C74"/>
  <c r="B74"/>
  <c r="P73"/>
  <c r="O73"/>
  <c r="N73"/>
  <c r="M73"/>
  <c r="K73"/>
  <c r="J73"/>
  <c r="H73"/>
  <c r="G73"/>
  <c r="F73"/>
  <c r="E73"/>
  <c r="C73"/>
  <c r="B73"/>
  <c r="P72"/>
  <c r="O72"/>
  <c r="N72"/>
  <c r="M72"/>
  <c r="K72"/>
  <c r="J72"/>
  <c r="H72"/>
  <c r="G72"/>
  <c r="F72"/>
  <c r="E72"/>
  <c r="C72"/>
  <c r="B72"/>
  <c r="P59"/>
  <c r="O59"/>
  <c r="N59"/>
  <c r="M59"/>
  <c r="K59"/>
  <c r="J59"/>
  <c r="H59"/>
  <c r="G59"/>
  <c r="F59"/>
  <c r="E59"/>
  <c r="C59"/>
  <c r="B59"/>
  <c r="P58"/>
  <c r="O58"/>
  <c r="N58"/>
  <c r="M58"/>
  <c r="K58"/>
  <c r="J58"/>
  <c r="H58"/>
  <c r="G58"/>
  <c r="F58"/>
  <c r="E58"/>
  <c r="C58"/>
  <c r="B58"/>
  <c r="P57"/>
  <c r="O57"/>
  <c r="N57"/>
  <c r="M57"/>
  <c r="K57"/>
  <c r="J57"/>
  <c r="H57"/>
  <c r="G57"/>
  <c r="F57"/>
  <c r="E57"/>
  <c r="C57"/>
  <c r="B57"/>
  <c r="P56"/>
  <c r="O56"/>
  <c r="N56"/>
  <c r="M56"/>
  <c r="K56"/>
  <c r="J56"/>
  <c r="H56"/>
  <c r="G56"/>
  <c r="F56"/>
  <c r="E56"/>
  <c r="C56"/>
  <c r="B56"/>
  <c r="P54"/>
  <c r="O54"/>
  <c r="N54"/>
  <c r="M54"/>
  <c r="K54"/>
  <c r="J54"/>
  <c r="H54"/>
  <c r="G54"/>
  <c r="F54"/>
  <c r="E54"/>
  <c r="C54"/>
  <c r="B54"/>
  <c r="P53"/>
  <c r="O53"/>
  <c r="N53"/>
  <c r="M53"/>
  <c r="K53"/>
  <c r="J53"/>
  <c r="H53"/>
  <c r="G53"/>
  <c r="F53"/>
  <c r="E53"/>
  <c r="C53"/>
  <c r="B53"/>
  <c r="P52"/>
  <c r="O52"/>
  <c r="N52"/>
  <c r="M52"/>
  <c r="K52"/>
  <c r="J52"/>
  <c r="H52"/>
  <c r="G52"/>
  <c r="F52"/>
  <c r="E52"/>
  <c r="C52"/>
  <c r="B52"/>
  <c r="P51"/>
  <c r="O51"/>
  <c r="N51"/>
  <c r="M51"/>
  <c r="K51"/>
  <c r="J51"/>
  <c r="H51"/>
  <c r="G51"/>
  <c r="F51"/>
  <c r="E51"/>
  <c r="C51"/>
  <c r="B51"/>
  <c r="P49"/>
  <c r="O49"/>
  <c r="N49"/>
  <c r="M49"/>
  <c r="K49"/>
  <c r="J49"/>
  <c r="H49"/>
  <c r="G49"/>
  <c r="F49"/>
  <c r="E49"/>
  <c r="C49"/>
  <c r="B49"/>
  <c r="P48"/>
  <c r="O48"/>
  <c r="N48"/>
  <c r="M48"/>
  <c r="K48"/>
  <c r="J48"/>
  <c r="H48"/>
  <c r="G48"/>
  <c r="F48"/>
  <c r="E48"/>
  <c r="C48"/>
  <c r="B48"/>
  <c r="P47"/>
  <c r="O47"/>
  <c r="N47"/>
  <c r="M47"/>
  <c r="K47"/>
  <c r="J47"/>
  <c r="H47"/>
  <c r="G47"/>
  <c r="F47"/>
  <c r="E47"/>
  <c r="C47"/>
  <c r="B47"/>
  <c r="P46"/>
  <c r="O46"/>
  <c r="N46"/>
  <c r="M46"/>
  <c r="K46"/>
  <c r="J46"/>
  <c r="H46"/>
  <c r="G46"/>
  <c r="F46"/>
  <c r="E46"/>
  <c r="C46"/>
  <c r="B46"/>
  <c r="P44"/>
  <c r="O44"/>
  <c r="N44"/>
  <c r="M44"/>
  <c r="K44"/>
  <c r="J44"/>
  <c r="H44"/>
  <c r="G44"/>
  <c r="F44"/>
  <c r="E44"/>
  <c r="C44"/>
  <c r="B44"/>
  <c r="P43"/>
  <c r="O43"/>
  <c r="N43"/>
  <c r="M43"/>
  <c r="K43"/>
  <c r="J43"/>
  <c r="H43"/>
  <c r="G43"/>
  <c r="F43"/>
  <c r="E43"/>
  <c r="C43"/>
  <c r="B43"/>
  <c r="P42"/>
  <c r="O42"/>
  <c r="N42"/>
  <c r="M42"/>
  <c r="K42"/>
  <c r="J42"/>
  <c r="H42"/>
  <c r="G42"/>
  <c r="F42"/>
  <c r="E42"/>
  <c r="C42"/>
  <c r="B42"/>
  <c r="P41"/>
  <c r="O41"/>
  <c r="N41"/>
  <c r="M41"/>
  <c r="K41"/>
  <c r="J41"/>
  <c r="H41"/>
  <c r="G41"/>
  <c r="F41"/>
  <c r="E41"/>
  <c r="C41"/>
  <c r="B41"/>
  <c r="P27"/>
  <c r="O27"/>
  <c r="N27"/>
  <c r="M27"/>
  <c r="K27"/>
  <c r="J27"/>
  <c r="P26"/>
  <c r="O26"/>
  <c r="N26"/>
  <c r="M26"/>
  <c r="K26"/>
  <c r="J26"/>
  <c r="P25"/>
  <c r="O25"/>
  <c r="N25"/>
  <c r="M25"/>
  <c r="K25"/>
  <c r="J25"/>
  <c r="P24"/>
  <c r="O24"/>
  <c r="N24"/>
  <c r="M24"/>
  <c r="K24"/>
  <c r="J24"/>
  <c r="P22"/>
  <c r="O22"/>
  <c r="N22"/>
  <c r="M22"/>
  <c r="K22"/>
  <c r="J22"/>
  <c r="P21"/>
  <c r="O21"/>
  <c r="N21"/>
  <c r="M21"/>
  <c r="K21"/>
  <c r="J21"/>
  <c r="P20"/>
  <c r="O20"/>
  <c r="N20"/>
  <c r="M20"/>
  <c r="K20"/>
  <c r="J20"/>
  <c r="P19"/>
  <c r="O19"/>
  <c r="N19"/>
  <c r="M19"/>
  <c r="K19"/>
  <c r="J19"/>
  <c r="P17"/>
  <c r="O17"/>
  <c r="N17"/>
  <c r="M17"/>
  <c r="K17"/>
  <c r="J17"/>
  <c r="P16"/>
  <c r="O16"/>
  <c r="N16"/>
  <c r="M16"/>
  <c r="K16"/>
  <c r="J16"/>
  <c r="P15"/>
  <c r="O15"/>
  <c r="N15"/>
  <c r="M15"/>
  <c r="K15"/>
  <c r="J15"/>
  <c r="P14"/>
  <c r="O14"/>
  <c r="N14"/>
  <c r="M14"/>
  <c r="K14"/>
  <c r="J14"/>
  <c r="P12"/>
  <c r="O12"/>
  <c r="N12"/>
  <c r="M12"/>
  <c r="K12"/>
  <c r="J12"/>
  <c r="P11"/>
  <c r="O11"/>
  <c r="N11"/>
  <c r="M11"/>
  <c r="K11"/>
  <c r="J11"/>
  <c r="P10"/>
  <c r="O10"/>
  <c r="N10"/>
  <c r="M10"/>
  <c r="K10"/>
  <c r="J10"/>
  <c r="P9"/>
  <c r="O9"/>
  <c r="N9"/>
  <c r="M9"/>
  <c r="K9"/>
  <c r="J9"/>
  <c r="H27"/>
  <c r="G27"/>
  <c r="F27"/>
  <c r="E27"/>
  <c r="C27"/>
  <c r="B27"/>
  <c r="H26"/>
  <c r="G26"/>
  <c r="F26"/>
  <c r="E26"/>
  <c r="C26"/>
  <c r="B26"/>
  <c r="H25"/>
  <c r="G25"/>
  <c r="F25"/>
  <c r="E25"/>
  <c r="C25"/>
  <c r="B25"/>
  <c r="H24"/>
  <c r="G24"/>
  <c r="F24"/>
  <c r="E24"/>
  <c r="C24"/>
  <c r="B24"/>
  <c r="H22"/>
  <c r="G22"/>
  <c r="F22"/>
  <c r="E22"/>
  <c r="C22"/>
  <c r="B22"/>
  <c r="H21"/>
  <c r="G21"/>
  <c r="F21"/>
  <c r="E21"/>
  <c r="C21"/>
  <c r="B21"/>
  <c r="H20"/>
  <c r="G20"/>
  <c r="F20"/>
  <c r="E20"/>
  <c r="C20"/>
  <c r="B20"/>
  <c r="H19"/>
  <c r="G19"/>
  <c r="F19"/>
  <c r="E19"/>
  <c r="C19"/>
  <c r="B19"/>
  <c r="H17"/>
  <c r="G17"/>
  <c r="F17"/>
  <c r="E17"/>
  <c r="C17"/>
  <c r="B17"/>
  <c r="H16"/>
  <c r="G16"/>
  <c r="F16"/>
  <c r="E16"/>
  <c r="C16"/>
  <c r="B16"/>
  <c r="H15"/>
  <c r="G15"/>
  <c r="F15"/>
  <c r="E15"/>
  <c r="C15"/>
  <c r="B15"/>
  <c r="H14"/>
  <c r="G14"/>
  <c r="F14"/>
  <c r="E14"/>
  <c r="C14"/>
  <c r="B14"/>
  <c r="H12"/>
  <c r="G12"/>
  <c r="F12"/>
  <c r="E12"/>
  <c r="C12"/>
  <c r="B12"/>
  <c r="H11"/>
  <c r="G11"/>
  <c r="F11"/>
  <c r="E11"/>
  <c r="C11"/>
  <c r="B11"/>
  <c r="H10"/>
  <c r="G10"/>
  <c r="F10"/>
  <c r="E10"/>
  <c r="C10"/>
  <c r="H9"/>
  <c r="G9"/>
  <c r="F9"/>
  <c r="E9"/>
  <c r="C9"/>
  <c r="B10"/>
  <c r="H8" i="5" s="1"/>
  <c r="B9" i="6"/>
  <c r="H7" i="5" s="1"/>
  <c r="D458" i="6"/>
  <c r="O53" i="5" s="1"/>
  <c r="D457" i="6"/>
  <c r="O52" i="5" s="1"/>
  <c r="D456" i="6"/>
  <c r="O51" i="5" s="1"/>
  <c r="D455" i="6"/>
  <c r="O50" i="5" s="1"/>
  <c r="Q454" i="6"/>
  <c r="D453"/>
  <c r="Q453" s="1"/>
  <c r="D452"/>
  <c r="Q452" s="1"/>
  <c r="D451"/>
  <c r="Q451" s="1"/>
  <c r="D450"/>
  <c r="Q450" s="1"/>
  <c r="Q449"/>
  <c r="D448"/>
  <c r="O43" i="5" s="1"/>
  <c r="D447" i="6"/>
  <c r="O42" i="5" s="1"/>
  <c r="D446" i="6"/>
  <c r="O41" i="5" s="1"/>
  <c r="D445" i="6"/>
  <c r="O40" i="5" s="1"/>
  <c r="Q444" i="6"/>
  <c r="D443"/>
  <c r="Q443" s="1"/>
  <c r="D442"/>
  <c r="Q442" s="1"/>
  <c r="D441"/>
  <c r="Q441" s="1"/>
  <c r="Q439"/>
  <c r="Q438"/>
  <c r="Q437"/>
  <c r="Q436"/>
  <c r="Q435"/>
  <c r="Q434"/>
  <c r="Q433"/>
  <c r="Q432"/>
  <c r="Q431"/>
  <c r="Q430"/>
  <c r="Q429"/>
  <c r="D428"/>
  <c r="N53" i="5" s="1"/>
  <c r="D427" i="6"/>
  <c r="N52" i="5" s="1"/>
  <c r="D426" i="6"/>
  <c r="N51" i="5" s="1"/>
  <c r="D425" i="6"/>
  <c r="N50" i="5" s="1"/>
  <c r="Q424" i="6"/>
  <c r="D423"/>
  <c r="Q423" s="1"/>
  <c r="D422"/>
  <c r="Q422" s="1"/>
  <c r="D421"/>
  <c r="Q421" s="1"/>
  <c r="D420"/>
  <c r="Q420" s="1"/>
  <c r="Q419"/>
  <c r="D418"/>
  <c r="N43" i="5" s="1"/>
  <c r="D417" i="6"/>
  <c r="N42" i="5" s="1"/>
  <c r="D416" i="6"/>
  <c r="N41" i="5" s="1"/>
  <c r="D415" i="6"/>
  <c r="N40" i="5" s="1"/>
  <c r="Q414" i="6"/>
  <c r="D413"/>
  <c r="Q413" s="1"/>
  <c r="D412"/>
  <c r="Q412" s="1"/>
  <c r="D411"/>
  <c r="Q411" s="1"/>
  <c r="Q409"/>
  <c r="Q408"/>
  <c r="Q407"/>
  <c r="Q406"/>
  <c r="Q405"/>
  <c r="Q404"/>
  <c r="Q403"/>
  <c r="Q402"/>
  <c r="Q401"/>
  <c r="Q400"/>
  <c r="Q399"/>
  <c r="D398"/>
  <c r="P53" i="5" s="1"/>
  <c r="S53" s="1"/>
  <c r="D397" i="6"/>
  <c r="P52" i="5" s="1"/>
  <c r="S52" s="1"/>
  <c r="D396" i="6"/>
  <c r="P51" i="5" s="1"/>
  <c r="S51" s="1"/>
  <c r="D395" i="6"/>
  <c r="P50" i="5" s="1"/>
  <c r="S50" s="1"/>
  <c r="Q394" i="6"/>
  <c r="D393"/>
  <c r="Q393" s="1"/>
  <c r="D392"/>
  <c r="Q392" s="1"/>
  <c r="D391"/>
  <c r="Q391" s="1"/>
  <c r="D390"/>
  <c r="Q390" s="1"/>
  <c r="Q389"/>
  <c r="D388"/>
  <c r="P43" i="5" s="1"/>
  <c r="S43" s="1"/>
  <c r="D387" i="6"/>
  <c r="P42" i="5" s="1"/>
  <c r="D386" i="6"/>
  <c r="P41" i="5" s="1"/>
  <c r="D385" i="6"/>
  <c r="P40" i="5" s="1"/>
  <c r="Q384" i="6"/>
  <c r="D383"/>
  <c r="Q383" s="1"/>
  <c r="D382"/>
  <c r="Q382" s="1"/>
  <c r="D381"/>
  <c r="Q381" s="1"/>
  <c r="D380"/>
  <c r="Q380" s="1"/>
  <c r="Q379"/>
  <c r="Q378"/>
  <c r="Q377"/>
  <c r="Q376"/>
  <c r="Q375"/>
  <c r="Q374"/>
  <c r="Q373"/>
  <c r="Q372"/>
  <c r="Q371"/>
  <c r="Q370"/>
  <c r="Q369"/>
  <c r="Q368"/>
  <c r="D367"/>
  <c r="Q367" s="1"/>
  <c r="D366"/>
  <c r="Q366" s="1"/>
  <c r="D365"/>
  <c r="Q365" s="1"/>
  <c r="D364"/>
  <c r="Q364" s="1"/>
  <c r="Q363"/>
  <c r="D362"/>
  <c r="L48" i="5" s="1"/>
  <c r="D361" i="6"/>
  <c r="L47" i="5" s="1"/>
  <c r="D360" i="6"/>
  <c r="L46" i="5" s="1"/>
  <c r="D359" i="6"/>
  <c r="L45" i="5" s="1"/>
  <c r="Q358" i="6"/>
  <c r="D357"/>
  <c r="Q357" s="1"/>
  <c r="D356"/>
  <c r="Q356" s="1"/>
  <c r="D355"/>
  <c r="Q355" s="1"/>
  <c r="D354"/>
  <c r="Q354" s="1"/>
  <c r="Q353"/>
  <c r="D352"/>
  <c r="L38" i="5" s="1"/>
  <c r="D351" i="6"/>
  <c r="L37" i="5" s="1"/>
  <c r="D350" i="6"/>
  <c r="L36" i="5" s="1"/>
  <c r="D349" i="6"/>
  <c r="L35" i="5" s="1"/>
  <c r="Q348" i="6"/>
  <c r="Q347"/>
  <c r="Q346"/>
  <c r="Q345"/>
  <c r="Q344"/>
  <c r="Q343"/>
  <c r="Q342"/>
  <c r="Q341"/>
  <c r="Q340"/>
  <c r="Q339"/>
  <c r="Q338"/>
  <c r="D337"/>
  <c r="Q337" s="1"/>
  <c r="D336"/>
  <c r="Q336" s="1"/>
  <c r="D335"/>
  <c r="Q335" s="1"/>
  <c r="D334"/>
  <c r="Q334" s="1"/>
  <c r="Q333"/>
  <c r="D332"/>
  <c r="K48" i="5" s="1"/>
  <c r="D331" i="6"/>
  <c r="K47" i="5" s="1"/>
  <c r="D330" i="6"/>
  <c r="K46" i="5" s="1"/>
  <c r="D329" i="6"/>
  <c r="K45" i="5" s="1"/>
  <c r="Q328" i="6"/>
  <c r="D327"/>
  <c r="Q327" s="1"/>
  <c r="D326"/>
  <c r="Q326" s="1"/>
  <c r="D325"/>
  <c r="Q325" s="1"/>
  <c r="D324"/>
  <c r="Q324" s="1"/>
  <c r="Q323"/>
  <c r="D322"/>
  <c r="K38" i="5" s="1"/>
  <c r="D321" i="6"/>
  <c r="K37" i="5" s="1"/>
  <c r="D320" i="6"/>
  <c r="K36" i="5" s="1"/>
  <c r="D319" i="6"/>
  <c r="K35" i="5" s="1"/>
  <c r="Q318" i="6"/>
  <c r="Q317"/>
  <c r="Q316"/>
  <c r="Q315"/>
  <c r="Q314"/>
  <c r="Q313"/>
  <c r="Q312"/>
  <c r="Q311"/>
  <c r="Q310"/>
  <c r="Q309"/>
  <c r="Q308"/>
  <c r="Q307"/>
  <c r="D306"/>
  <c r="J53" i="5" s="1"/>
  <c r="D305" i="6"/>
  <c r="J52" i="5" s="1"/>
  <c r="D304" i="6"/>
  <c r="J51" i="5" s="1"/>
  <c r="D303" i="6"/>
  <c r="J50" i="5" s="1"/>
  <c r="Q302" i="6"/>
  <c r="D301"/>
  <c r="Q301" s="1"/>
  <c r="D300"/>
  <c r="Q300" s="1"/>
  <c r="D299"/>
  <c r="Q299" s="1"/>
  <c r="D298"/>
  <c r="Q298" s="1"/>
  <c r="Q297"/>
  <c r="D296"/>
  <c r="J43" i="5" s="1"/>
  <c r="D295" i="6"/>
  <c r="J42" i="5" s="1"/>
  <c r="D294" i="6"/>
  <c r="J41" i="5" s="1"/>
  <c r="D293" i="6"/>
  <c r="J40" i="5" s="1"/>
  <c r="Q292" i="6"/>
  <c r="D291"/>
  <c r="Q291" s="1"/>
  <c r="D290"/>
  <c r="Q290" s="1"/>
  <c r="D289"/>
  <c r="Q289" s="1"/>
  <c r="Q287"/>
  <c r="Q286"/>
  <c r="Q285"/>
  <c r="Q284"/>
  <c r="Q283"/>
  <c r="Q282"/>
  <c r="Q281"/>
  <c r="Q280"/>
  <c r="Q279"/>
  <c r="Q278"/>
  <c r="Q277"/>
  <c r="Q276"/>
  <c r="D275"/>
  <c r="Q275" s="1"/>
  <c r="D274"/>
  <c r="Q274" s="1"/>
  <c r="D273"/>
  <c r="Q273" s="1"/>
  <c r="D272"/>
  <c r="Q272" s="1"/>
  <c r="Q271"/>
  <c r="D270"/>
  <c r="I48" i="5" s="1"/>
  <c r="D269" i="6"/>
  <c r="I47" i="5" s="1"/>
  <c r="D268" i="6"/>
  <c r="I46" i="5" s="1"/>
  <c r="Q266" i="6"/>
  <c r="D265"/>
  <c r="Q265" s="1"/>
  <c r="D264"/>
  <c r="Q264" s="1"/>
  <c r="D263"/>
  <c r="Q263" s="1"/>
  <c r="D262"/>
  <c r="Q262" s="1"/>
  <c r="Q261"/>
  <c r="D260"/>
  <c r="I38" i="5" s="1"/>
  <c r="D259" i="6"/>
  <c r="I37" i="5" s="1"/>
  <c r="D258" i="6"/>
  <c r="I36" i="5" s="1"/>
  <c r="Q256" i="6"/>
  <c r="Q255"/>
  <c r="Q254"/>
  <c r="Q253"/>
  <c r="Q252"/>
  <c r="Q251"/>
  <c r="Q250"/>
  <c r="Q249"/>
  <c r="Q248"/>
  <c r="Q247"/>
  <c r="Q246"/>
  <c r="Q245"/>
  <c r="D244"/>
  <c r="M53" i="5" s="1"/>
  <c r="D243" i="6"/>
  <c r="M52" i="5" s="1"/>
  <c r="D242" i="6"/>
  <c r="M51" i="5" s="1"/>
  <c r="D241" i="6"/>
  <c r="M50" i="5" s="1"/>
  <c r="Q240" i="6"/>
  <c r="D239"/>
  <c r="Q239" s="1"/>
  <c r="D238"/>
  <c r="Q238" s="1"/>
  <c r="Q235"/>
  <c r="D233"/>
  <c r="M42" i="5" s="1"/>
  <c r="D231" i="6"/>
  <c r="M40" i="5" s="1"/>
  <c r="Q230" i="6"/>
  <c r="D229"/>
  <c r="Q229" s="1"/>
  <c r="I227"/>
  <c r="I228" s="1"/>
  <c r="J226"/>
  <c r="K226" s="1"/>
  <c r="L226" s="1"/>
  <c r="M226" s="1"/>
  <c r="N226" s="1"/>
  <c r="O226" s="1"/>
  <c r="Q225"/>
  <c r="Q224"/>
  <c r="Q223"/>
  <c r="Q222"/>
  <c r="Q221"/>
  <c r="Q220"/>
  <c r="Q219"/>
  <c r="Q218"/>
  <c r="R217"/>
  <c r="Q217"/>
  <c r="R215"/>
  <c r="Q215"/>
  <c r="R214"/>
  <c r="Q214"/>
  <c r="D213"/>
  <c r="Q213" s="1"/>
  <c r="D212"/>
  <c r="Q212" s="1"/>
  <c r="D211"/>
  <c r="Q211" s="1"/>
  <c r="D210"/>
  <c r="Q210" s="1"/>
  <c r="R209"/>
  <c r="Q209"/>
  <c r="D208"/>
  <c r="Q208" s="1"/>
  <c r="D207"/>
  <c r="Q207" s="1"/>
  <c r="D206"/>
  <c r="Q206" s="1"/>
  <c r="R204"/>
  <c r="Q204"/>
  <c r="L203"/>
  <c r="L202"/>
  <c r="L201"/>
  <c r="L200"/>
  <c r="R199"/>
  <c r="Q199"/>
  <c r="L198"/>
  <c r="L197"/>
  <c r="L196"/>
  <c r="L195"/>
  <c r="R194"/>
  <c r="Q194"/>
  <c r="R193"/>
  <c r="Q193"/>
  <c r="R192"/>
  <c r="Q192"/>
  <c r="R191"/>
  <c r="Q191"/>
  <c r="R190"/>
  <c r="Q190"/>
  <c r="R189"/>
  <c r="Q189"/>
  <c r="R188"/>
  <c r="Q188"/>
  <c r="R187"/>
  <c r="Q187"/>
  <c r="R186"/>
  <c r="Q186"/>
  <c r="R185"/>
  <c r="Q185"/>
  <c r="R184"/>
  <c r="Q184"/>
  <c r="R183"/>
  <c r="Q183"/>
  <c r="L182"/>
  <c r="L181"/>
  <c r="L180"/>
  <c r="L179"/>
  <c r="R178"/>
  <c r="Q178"/>
  <c r="L177"/>
  <c r="L176"/>
  <c r="L175"/>
  <c r="D174"/>
  <c r="Q174" s="1"/>
  <c r="R173"/>
  <c r="Q173"/>
  <c r="D172"/>
  <c r="Q172" s="1"/>
  <c r="D171"/>
  <c r="Q171" s="1"/>
  <c r="D170"/>
  <c r="Q170" s="1"/>
  <c r="D169"/>
  <c r="Q169" s="1"/>
  <c r="R168"/>
  <c r="Q168"/>
  <c r="D167"/>
  <c r="Q167" s="1"/>
  <c r="D166"/>
  <c r="Q166" s="1"/>
  <c r="D165"/>
  <c r="Q165" s="1"/>
  <c r="R163"/>
  <c r="Q163"/>
  <c r="R162"/>
  <c r="Q162"/>
  <c r="R161"/>
  <c r="Q161"/>
  <c r="R160"/>
  <c r="Q160"/>
  <c r="R159"/>
  <c r="Q159"/>
  <c r="R158"/>
  <c r="Q158"/>
  <c r="R157"/>
  <c r="Q157"/>
  <c r="R156"/>
  <c r="Q156"/>
  <c r="R155"/>
  <c r="Q155"/>
  <c r="R154"/>
  <c r="Q154"/>
  <c r="R153"/>
  <c r="Q153"/>
  <c r="L152"/>
  <c r="L151"/>
  <c r="L150"/>
  <c r="L149"/>
  <c r="R148"/>
  <c r="Q148"/>
  <c r="L147"/>
  <c r="L146"/>
  <c r="L145"/>
  <c r="D144"/>
  <c r="Q144" s="1"/>
  <c r="R143"/>
  <c r="Q143"/>
  <c r="D142"/>
  <c r="Q142" s="1"/>
  <c r="R138"/>
  <c r="Q138"/>
  <c r="D137"/>
  <c r="E38" i="5" s="1"/>
  <c r="R133" i="6"/>
  <c r="Q133"/>
  <c r="R132"/>
  <c r="Q132"/>
  <c r="R131"/>
  <c r="Q131"/>
  <c r="R130"/>
  <c r="Q130"/>
  <c r="R129"/>
  <c r="Q129"/>
  <c r="R128"/>
  <c r="Q128"/>
  <c r="R127"/>
  <c r="Q127"/>
  <c r="R126"/>
  <c r="Q126"/>
  <c r="R125"/>
  <c r="Q125"/>
  <c r="R124"/>
  <c r="Q124"/>
  <c r="R123"/>
  <c r="Q123"/>
  <c r="R122"/>
  <c r="Q122"/>
  <c r="R117"/>
  <c r="Q117"/>
  <c r="R112"/>
  <c r="Q112"/>
  <c r="R107"/>
  <c r="Q107"/>
  <c r="R102"/>
  <c r="Q102"/>
  <c r="R101"/>
  <c r="Q101"/>
  <c r="R100"/>
  <c r="Q100"/>
  <c r="R99"/>
  <c r="Q99"/>
  <c r="R98"/>
  <c r="Q98"/>
  <c r="R97"/>
  <c r="Q97"/>
  <c r="R96"/>
  <c r="Q96"/>
  <c r="R95"/>
  <c r="Q95"/>
  <c r="R94"/>
  <c r="Q94"/>
  <c r="R93"/>
  <c r="Q93"/>
  <c r="R92"/>
  <c r="Q92"/>
  <c r="R91"/>
  <c r="Q91"/>
  <c r="R86"/>
  <c r="Q86"/>
  <c r="R81"/>
  <c r="Q81"/>
  <c r="R76"/>
  <c r="Q76"/>
  <c r="R71"/>
  <c r="Q71"/>
  <c r="R70"/>
  <c r="Q70"/>
  <c r="R69"/>
  <c r="Q69"/>
  <c r="R68"/>
  <c r="Q68"/>
  <c r="R67"/>
  <c r="Q67"/>
  <c r="R66"/>
  <c r="Q66"/>
  <c r="R65"/>
  <c r="Q65"/>
  <c r="R64"/>
  <c r="Q64"/>
  <c r="R63"/>
  <c r="Q63"/>
  <c r="R62"/>
  <c r="Q62"/>
  <c r="R61"/>
  <c r="Q61"/>
  <c r="R60"/>
  <c r="Q60"/>
  <c r="R55"/>
  <c r="Q55"/>
  <c r="R50"/>
  <c r="Q50"/>
  <c r="R45"/>
  <c r="Q45"/>
  <c r="R40"/>
  <c r="Q40"/>
  <c r="R39"/>
  <c r="Q39"/>
  <c r="R38"/>
  <c r="Q38"/>
  <c r="R37"/>
  <c r="Q37"/>
  <c r="R36"/>
  <c r="Q36"/>
  <c r="R35"/>
  <c r="Q35"/>
  <c r="R34"/>
  <c r="Q34"/>
  <c r="R33"/>
  <c r="Q33"/>
  <c r="R32"/>
  <c r="Q32"/>
  <c r="R30"/>
  <c r="Q30"/>
  <c r="R29"/>
  <c r="Q29"/>
  <c r="R28"/>
  <c r="Q28"/>
  <c r="R23"/>
  <c r="Q23"/>
  <c r="R18"/>
  <c r="Q18"/>
  <c r="R13"/>
  <c r="D387" i="8" l="1"/>
  <c r="P42" i="7" s="1"/>
  <c r="D390" i="8"/>
  <c r="S42" i="5"/>
  <c r="E7" i="7"/>
  <c r="E66"/>
  <c r="E8"/>
  <c r="E67"/>
  <c r="E9"/>
  <c r="E68"/>
  <c r="E10"/>
  <c r="E69"/>
  <c r="E12"/>
  <c r="E71"/>
  <c r="E13"/>
  <c r="E72"/>
  <c r="E14"/>
  <c r="E73"/>
  <c r="E15"/>
  <c r="E74"/>
  <c r="E17"/>
  <c r="E76"/>
  <c r="E18"/>
  <c r="E77"/>
  <c r="E19"/>
  <c r="E20"/>
  <c r="E22"/>
  <c r="E23"/>
  <c r="E24"/>
  <c r="E25"/>
  <c r="F7"/>
  <c r="F8"/>
  <c r="F9"/>
  <c r="F10"/>
  <c r="F12"/>
  <c r="F13"/>
  <c r="F14"/>
  <c r="F15"/>
  <c r="F17"/>
  <c r="F18"/>
  <c r="F19"/>
  <c r="F20"/>
  <c r="F22"/>
  <c r="F23"/>
  <c r="F24"/>
  <c r="F25"/>
  <c r="G8"/>
  <c r="G9"/>
  <c r="G10"/>
  <c r="G12"/>
  <c r="G13"/>
  <c r="G14"/>
  <c r="G15"/>
  <c r="G17"/>
  <c r="G18"/>
  <c r="G19"/>
  <c r="G20"/>
  <c r="G22"/>
  <c r="G23"/>
  <c r="G24"/>
  <c r="G25"/>
  <c r="M8"/>
  <c r="M9"/>
  <c r="M10"/>
  <c r="M12"/>
  <c r="M13"/>
  <c r="M14"/>
  <c r="M15"/>
  <c r="M17"/>
  <c r="M18"/>
  <c r="M19"/>
  <c r="M20"/>
  <c r="M22"/>
  <c r="M23"/>
  <c r="M24"/>
  <c r="M25"/>
  <c r="I8"/>
  <c r="I9"/>
  <c r="I10"/>
  <c r="I12"/>
  <c r="I13"/>
  <c r="I14"/>
  <c r="I15"/>
  <c r="I17"/>
  <c r="I18"/>
  <c r="I19"/>
  <c r="I20"/>
  <c r="I22"/>
  <c r="I23"/>
  <c r="I24"/>
  <c r="I25"/>
  <c r="J8"/>
  <c r="J9"/>
  <c r="J10"/>
  <c r="J12"/>
  <c r="J13"/>
  <c r="J14"/>
  <c r="J15"/>
  <c r="J17"/>
  <c r="J18"/>
  <c r="J19"/>
  <c r="J22"/>
  <c r="J23"/>
  <c r="P7"/>
  <c r="D380" i="8"/>
  <c r="P8" i="7"/>
  <c r="D381" i="8"/>
  <c r="P36" i="7" s="1"/>
  <c r="P9"/>
  <c r="D382" i="8"/>
  <c r="P10" i="7"/>
  <c r="D383" i="8"/>
  <c r="P12" i="7"/>
  <c r="D385" i="8"/>
  <c r="P40" i="7" s="1"/>
  <c r="P13"/>
  <c r="D386" i="8"/>
  <c r="P41" i="7" s="1"/>
  <c r="P14"/>
  <c r="P15"/>
  <c r="P17"/>
  <c r="D121" i="6"/>
  <c r="D53" i="5" s="1"/>
  <c r="D9" i="6"/>
  <c r="H35" i="5" s="1"/>
  <c r="L17" i="6"/>
  <c r="H103" i="5" s="1"/>
  <c r="D43" i="6"/>
  <c r="B37" i="5" s="1"/>
  <c r="D48" i="6"/>
  <c r="B42" i="5" s="1"/>
  <c r="D51" i="6"/>
  <c r="B45" i="5" s="1"/>
  <c r="L53" i="6"/>
  <c r="B107" i="5" s="1"/>
  <c r="L72" i="6"/>
  <c r="C95" i="5" s="1"/>
  <c r="L77" i="6"/>
  <c r="C100" i="5" s="1"/>
  <c r="L79" i="6"/>
  <c r="C102" i="5" s="1"/>
  <c r="D83" i="6"/>
  <c r="C46" i="5" s="1"/>
  <c r="D85" i="6"/>
  <c r="C48" i="5" s="1"/>
  <c r="L103" i="6"/>
  <c r="D95" i="5" s="1"/>
  <c r="L104" i="6"/>
  <c r="D96" i="5" s="1"/>
  <c r="L105" i="6"/>
  <c r="D97" i="5" s="1"/>
  <c r="L108" i="6"/>
  <c r="D100" i="5" s="1"/>
  <c r="L109" i="6"/>
  <c r="D101" i="5" s="1"/>
  <c r="L110" i="6"/>
  <c r="D102" i="5" s="1"/>
  <c r="L111" i="6"/>
  <c r="D103" i="5" s="1"/>
  <c r="D114" i="6"/>
  <c r="D46" i="5" s="1"/>
  <c r="D115" i="6"/>
  <c r="D47" i="5" s="1"/>
  <c r="D116" i="6"/>
  <c r="D48" i="5" s="1"/>
  <c r="D134" i="6"/>
  <c r="E35" i="5" s="1"/>
  <c r="D135" i="6"/>
  <c r="E36" i="5" s="1"/>
  <c r="D136" i="6"/>
  <c r="E37" i="5" s="1"/>
  <c r="D139" i="6"/>
  <c r="E40" i="5" s="1"/>
  <c r="D140" i="6"/>
  <c r="Q140" s="1"/>
  <c r="D141"/>
  <c r="Q141" s="1"/>
  <c r="L58"/>
  <c r="B112" i="5" s="1"/>
  <c r="D89" i="6"/>
  <c r="C52" i="5" s="1"/>
  <c r="D120" i="6"/>
  <c r="D52" i="5" s="1"/>
  <c r="D88" i="6"/>
  <c r="C51" i="5" s="1"/>
  <c r="D119" i="6"/>
  <c r="D51" i="5" s="1"/>
  <c r="L56" i="6"/>
  <c r="B110" i="5" s="1"/>
  <c r="D87" i="6"/>
  <c r="C50" i="5" s="1"/>
  <c r="D118" i="6"/>
  <c r="D50" i="5" s="1"/>
  <c r="P18" i="7"/>
  <c r="L106" i="6"/>
  <c r="D98" i="5" s="1"/>
  <c r="L74" i="6"/>
  <c r="C97" i="5" s="1"/>
  <c r="D90" i="6"/>
  <c r="C53" i="5" s="1"/>
  <c r="D11" i="6"/>
  <c r="Q11" s="1"/>
  <c r="D21"/>
  <c r="H47" i="5" s="1"/>
  <c r="D24" i="6"/>
  <c r="H50" i="5" s="1"/>
  <c r="D27" i="6"/>
  <c r="H53" i="5" s="1"/>
  <c r="L15" i="6"/>
  <c r="H101" i="5" s="1"/>
  <c r="L27" i="6"/>
  <c r="H113" i="5" s="1"/>
  <c r="D42" i="6"/>
  <c r="B36" i="5" s="1"/>
  <c r="D44" i="6"/>
  <c r="B38" i="5" s="1"/>
  <c r="D46" i="6"/>
  <c r="B40" i="5" s="1"/>
  <c r="D47" i="6"/>
  <c r="B41" i="5" s="1"/>
  <c r="L48" i="6"/>
  <c r="B102" i="5" s="1"/>
  <c r="D49" i="6"/>
  <c r="B43" i="5" s="1"/>
  <c r="L49" i="6"/>
  <c r="B103" i="5" s="1"/>
  <c r="D52" i="6"/>
  <c r="B46" i="5" s="1"/>
  <c r="L52" i="6"/>
  <c r="B106" i="5" s="1"/>
  <c r="D53" i="6"/>
  <c r="B47" i="5" s="1"/>
  <c r="D54" i="6"/>
  <c r="B48" i="5" s="1"/>
  <c r="L54" i="6"/>
  <c r="B108" i="5" s="1"/>
  <c r="D56" i="6"/>
  <c r="B50" i="5" s="1"/>
  <c r="D57" i="6"/>
  <c r="B51" i="5" s="1"/>
  <c r="L57" i="6"/>
  <c r="B111" i="5" s="1"/>
  <c r="D58" i="6"/>
  <c r="B52" i="5" s="1"/>
  <c r="D59" i="6"/>
  <c r="B53" i="5" s="1"/>
  <c r="L59" i="6"/>
  <c r="B113" i="5" s="1"/>
  <c r="D72" i="6"/>
  <c r="C35" i="5" s="1"/>
  <c r="D73" i="6"/>
  <c r="C36" i="5" s="1"/>
  <c r="L73" i="6"/>
  <c r="C96" i="5" s="1"/>
  <c r="D74" i="6"/>
  <c r="C37" i="5" s="1"/>
  <c r="D75" i="6"/>
  <c r="C38" i="5" s="1"/>
  <c r="L75" i="6"/>
  <c r="C98" i="5" s="1"/>
  <c r="D77" i="6"/>
  <c r="C40" i="5" s="1"/>
  <c r="D78" i="6"/>
  <c r="C41" i="5" s="1"/>
  <c r="L78" i="6"/>
  <c r="C101" i="5" s="1"/>
  <c r="D79" i="6"/>
  <c r="C42" i="5" s="1"/>
  <c r="D80" i="6"/>
  <c r="C43" i="5" s="1"/>
  <c r="L80" i="6"/>
  <c r="C103" i="5" s="1"/>
  <c r="D82" i="6"/>
  <c r="C45" i="5" s="1"/>
  <c r="L83" i="6"/>
  <c r="C106" i="5" s="1"/>
  <c r="D84" i="6"/>
  <c r="C47" i="5" s="1"/>
  <c r="L84" i="6"/>
  <c r="C107" i="5" s="1"/>
  <c r="L85" i="6"/>
  <c r="C108" i="5" s="1"/>
  <c r="L87" i="6"/>
  <c r="C110" i="5" s="1"/>
  <c r="L88" i="6"/>
  <c r="C111" i="5" s="1"/>
  <c r="L89" i="6"/>
  <c r="C112" i="5" s="1"/>
  <c r="L90" i="6"/>
  <c r="C113" i="5" s="1"/>
  <c r="D104" i="6"/>
  <c r="D36" i="5" s="1"/>
  <c r="D105" i="6"/>
  <c r="D37" i="5" s="1"/>
  <c r="D106" i="6"/>
  <c r="D38" i="5" s="1"/>
  <c r="D108" i="6"/>
  <c r="D40" i="5" s="1"/>
  <c r="D109" i="6"/>
  <c r="D41" i="5" s="1"/>
  <c r="D110" i="6"/>
  <c r="D42" i="5" s="1"/>
  <c r="D111" i="6"/>
  <c r="D43" i="5" s="1"/>
  <c r="D113" i="6"/>
  <c r="D45" i="5" s="1"/>
  <c r="L114" i="6"/>
  <c r="D106" i="5" s="1"/>
  <c r="L115" i="6"/>
  <c r="D107" i="5" s="1"/>
  <c r="L116" i="6"/>
  <c r="D108" i="5" s="1"/>
  <c r="L118" i="6"/>
  <c r="D110" i="5" s="1"/>
  <c r="L119" i="6"/>
  <c r="D111" i="5" s="1"/>
  <c r="L120" i="6"/>
  <c r="D112" i="5" s="1"/>
  <c r="L121" i="6"/>
  <c r="D113" i="5" s="1"/>
  <c r="L134" i="6"/>
  <c r="E95" i="5" s="1"/>
  <c r="L135" i="6"/>
  <c r="E96" i="5" s="1"/>
  <c r="L136" i="6"/>
  <c r="E97" i="5" s="1"/>
  <c r="L137" i="6"/>
  <c r="E98" i="5" s="1"/>
  <c r="L139" i="6"/>
  <c r="L140"/>
  <c r="L141"/>
  <c r="L142"/>
  <c r="D145"/>
  <c r="Q145" s="1"/>
  <c r="D146"/>
  <c r="Q146" s="1"/>
  <c r="D147"/>
  <c r="Q147" s="1"/>
  <c r="D149"/>
  <c r="Q149" s="1"/>
  <c r="D150"/>
  <c r="Q150" s="1"/>
  <c r="D151"/>
  <c r="Q151" s="1"/>
  <c r="D152"/>
  <c r="Q152" s="1"/>
  <c r="L164"/>
  <c r="L165"/>
  <c r="L166"/>
  <c r="L167"/>
  <c r="L169"/>
  <c r="L170"/>
  <c r="L171"/>
  <c r="L172"/>
  <c r="D175"/>
  <c r="Q175" s="1"/>
  <c r="D176"/>
  <c r="Q176" s="1"/>
  <c r="D177"/>
  <c r="Q177" s="1"/>
  <c r="D179"/>
  <c r="Q179" s="1"/>
  <c r="D180"/>
  <c r="Q180" s="1"/>
  <c r="D181"/>
  <c r="Q181" s="1"/>
  <c r="D182"/>
  <c r="Q182" s="1"/>
  <c r="D195"/>
  <c r="Q195" s="1"/>
  <c r="D196"/>
  <c r="Q196" s="1"/>
  <c r="D197"/>
  <c r="Q197" s="1"/>
  <c r="D198"/>
  <c r="Q198" s="1"/>
  <c r="D200"/>
  <c r="Q200" s="1"/>
  <c r="D201"/>
  <c r="Q201" s="1"/>
  <c r="D202"/>
  <c r="Q202" s="1"/>
  <c r="D203"/>
  <c r="Q203" s="1"/>
  <c r="D205"/>
  <c r="Q205" s="1"/>
  <c r="L206"/>
  <c r="L207"/>
  <c r="L208"/>
  <c r="L210"/>
  <c r="L211"/>
  <c r="L212"/>
  <c r="L213"/>
  <c r="D227"/>
  <c r="M36" i="5" s="1"/>
  <c r="D228" i="6"/>
  <c r="Q228" s="1"/>
  <c r="D232"/>
  <c r="M41" i="5" s="1"/>
  <c r="D234" i="6"/>
  <c r="M43" i="5" s="1"/>
  <c r="D26" i="6"/>
  <c r="H52" i="5" s="1"/>
  <c r="D41" i="6"/>
  <c r="B35" i="5" s="1"/>
  <c r="D103" i="6"/>
  <c r="D35" i="5" s="1"/>
  <c r="D164" i="6"/>
  <c r="Q164" s="1"/>
  <c r="D226"/>
  <c r="Q226" s="1"/>
  <c r="D257"/>
  <c r="I35" i="5" s="1"/>
  <c r="D288" i="6"/>
  <c r="Q288" s="1"/>
  <c r="D410"/>
  <c r="Q410" s="1"/>
  <c r="D440"/>
  <c r="Q440" s="1"/>
  <c r="L26"/>
  <c r="H112" i="5" s="1"/>
  <c r="D25" i="6"/>
  <c r="H51" i="5" s="1"/>
  <c r="L25" i="6"/>
  <c r="H111" i="5" s="1"/>
  <c r="L24" i="6"/>
  <c r="H110" i="5" s="1"/>
  <c r="D22" i="6"/>
  <c r="H48" i="5" s="1"/>
  <c r="L22" i="6"/>
  <c r="H108" i="5" s="1"/>
  <c r="J20" i="7"/>
  <c r="L21" i="6"/>
  <c r="H107" i="5" s="1"/>
  <c r="D20" i="6"/>
  <c r="H46" i="5" s="1"/>
  <c r="L20" i="6"/>
  <c r="H106" i="5" s="1"/>
  <c r="D19" i="6"/>
  <c r="H45" i="5" s="1"/>
  <c r="L19" i="6"/>
  <c r="H105" i="5" s="1"/>
  <c r="L51" i="6"/>
  <c r="B105" i="5" s="1"/>
  <c r="L82" i="6"/>
  <c r="C105" i="5" s="1"/>
  <c r="L113" i="6"/>
  <c r="D105" i="5" s="1"/>
  <c r="L144" i="6"/>
  <c r="L174"/>
  <c r="L205"/>
  <c r="D236"/>
  <c r="D267"/>
  <c r="I45" i="5" s="1"/>
  <c r="Q234" i="6"/>
  <c r="D17"/>
  <c r="H43" i="5" s="1"/>
  <c r="Q233" i="6"/>
  <c r="D16"/>
  <c r="H42" i="5" s="1"/>
  <c r="L16" i="6"/>
  <c r="H102" i="5" s="1"/>
  <c r="Q232" i="6"/>
  <c r="D15"/>
  <c r="H41" i="5" s="1"/>
  <c r="Q41" s="1"/>
  <c r="L47" i="6"/>
  <c r="B101" i="5" s="1"/>
  <c r="Q231" i="6"/>
  <c r="D14"/>
  <c r="H40" i="5" s="1"/>
  <c r="L14" i="6"/>
  <c r="H100" i="5" s="1"/>
  <c r="L46" i="6"/>
  <c r="B100" i="5" s="1"/>
  <c r="D12" i="6"/>
  <c r="Q12" s="1"/>
  <c r="L12"/>
  <c r="R12" s="1"/>
  <c r="L44"/>
  <c r="B98" i="5" s="1"/>
  <c r="L11" i="6"/>
  <c r="H97" i="5" s="1"/>
  <c r="L43" i="6"/>
  <c r="B97" i="5" s="1"/>
  <c r="Q227" i="6"/>
  <c r="D10"/>
  <c r="H36" i="5" s="1"/>
  <c r="Q36" s="1"/>
  <c r="L10" i="6"/>
  <c r="R10" s="1"/>
  <c r="L42"/>
  <c r="B96" i="5" s="1"/>
  <c r="L9" i="6"/>
  <c r="L41"/>
  <c r="B95" i="5" s="1"/>
  <c r="G7" i="7"/>
  <c r="M7"/>
  <c r="I7"/>
  <c r="J7"/>
  <c r="J24"/>
  <c r="J25"/>
  <c r="K7"/>
  <c r="K8"/>
  <c r="K9"/>
  <c r="K10"/>
  <c r="K12"/>
  <c r="K13"/>
  <c r="K14"/>
  <c r="K15"/>
  <c r="K17"/>
  <c r="S40" i="5"/>
  <c r="S41"/>
  <c r="K18" i="7"/>
  <c r="K19"/>
  <c r="K20"/>
  <c r="K22"/>
  <c r="K23"/>
  <c r="K24"/>
  <c r="K25"/>
  <c r="L7"/>
  <c r="L8"/>
  <c r="L9"/>
  <c r="L10"/>
  <c r="L12"/>
  <c r="L13"/>
  <c r="L14"/>
  <c r="L15"/>
  <c r="L17"/>
  <c r="L18"/>
  <c r="L19"/>
  <c r="L20"/>
  <c r="L22"/>
  <c r="L23"/>
  <c r="L24"/>
  <c r="L25"/>
  <c r="N7"/>
  <c r="N8"/>
  <c r="N9"/>
  <c r="N10"/>
  <c r="N12"/>
  <c r="N13"/>
  <c r="N14"/>
  <c r="N15"/>
  <c r="N17"/>
  <c r="N18"/>
  <c r="N19"/>
  <c r="N20"/>
  <c r="N22"/>
  <c r="N23"/>
  <c r="N24"/>
  <c r="O7"/>
  <c r="O9"/>
  <c r="O15"/>
  <c r="O17"/>
  <c r="O19"/>
  <c r="O23"/>
  <c r="R147" i="8"/>
  <c r="Q149"/>
  <c r="R149"/>
  <c r="Q150"/>
  <c r="R150"/>
  <c r="Q151"/>
  <c r="R151"/>
  <c r="Q152"/>
  <c r="R152"/>
  <c r="Q164"/>
  <c r="R164"/>
  <c r="Q165"/>
  <c r="R165"/>
  <c r="Q166"/>
  <c r="R166"/>
  <c r="Q167"/>
  <c r="R167"/>
  <c r="Q169"/>
  <c r="R169"/>
  <c r="Q170"/>
  <c r="R170"/>
  <c r="Q171"/>
  <c r="R171"/>
  <c r="Q172"/>
  <c r="R172"/>
  <c r="Q174"/>
  <c r="R174"/>
  <c r="Q175"/>
  <c r="R175"/>
  <c r="Q176"/>
  <c r="R176"/>
  <c r="Q177"/>
  <c r="R177"/>
  <c r="Q179"/>
  <c r="R179"/>
  <c r="Q180"/>
  <c r="R180"/>
  <c r="Q181"/>
  <c r="R181"/>
  <c r="Q182"/>
  <c r="R182"/>
  <c r="Q195"/>
  <c r="R195"/>
  <c r="Q196"/>
  <c r="R196"/>
  <c r="Q197"/>
  <c r="R197"/>
  <c r="Q198"/>
  <c r="R198"/>
  <c r="Q200"/>
  <c r="R200"/>
  <c r="Q201"/>
  <c r="R201"/>
  <c r="Q202"/>
  <c r="R202"/>
  <c r="Q203"/>
  <c r="R203"/>
  <c r="Q205"/>
  <c r="R205"/>
  <c r="Q206"/>
  <c r="R206"/>
  <c r="Q207"/>
  <c r="R207"/>
  <c r="Q208"/>
  <c r="R208"/>
  <c r="Q210"/>
  <c r="R210"/>
  <c r="Q211"/>
  <c r="R211"/>
  <c r="Q212"/>
  <c r="R212"/>
  <c r="Q213"/>
  <c r="R213"/>
  <c r="Q226"/>
  <c r="O25" i="7"/>
  <c r="O13"/>
  <c r="Q241" i="6"/>
  <c r="Q242"/>
  <c r="Q243"/>
  <c r="Q244"/>
  <c r="Q257"/>
  <c r="Q258"/>
  <c r="Q259"/>
  <c r="Q260"/>
  <c r="Q267"/>
  <c r="Q268"/>
  <c r="Q269"/>
  <c r="Q270"/>
  <c r="Q293"/>
  <c r="Q294"/>
  <c r="Q295"/>
  <c r="Q296"/>
  <c r="Q303"/>
  <c r="Q304"/>
  <c r="Q305"/>
  <c r="Q306"/>
  <c r="Q319"/>
  <c r="Q320"/>
  <c r="Q321"/>
  <c r="Q322"/>
  <c r="Q329"/>
  <c r="Q330"/>
  <c r="Q457"/>
  <c r="Q458"/>
  <c r="H9" i="5"/>
  <c r="H10"/>
  <c r="H12"/>
  <c r="H13"/>
  <c r="H14"/>
  <c r="H15"/>
  <c r="H17"/>
  <c r="H18"/>
  <c r="H19"/>
  <c r="H20"/>
  <c r="H22"/>
  <c r="H23"/>
  <c r="H24"/>
  <c r="H25"/>
  <c r="H66"/>
  <c r="H67"/>
  <c r="H68"/>
  <c r="H69"/>
  <c r="H71"/>
  <c r="H72"/>
  <c r="H73"/>
  <c r="H74"/>
  <c r="H76"/>
  <c r="H77"/>
  <c r="H78"/>
  <c r="H79"/>
  <c r="H81"/>
  <c r="H82"/>
  <c r="H83"/>
  <c r="H84"/>
  <c r="B7"/>
  <c r="B66"/>
  <c r="B8"/>
  <c r="B67"/>
  <c r="B9"/>
  <c r="B68"/>
  <c r="B10"/>
  <c r="B69"/>
  <c r="B12"/>
  <c r="B71"/>
  <c r="B13"/>
  <c r="B72"/>
  <c r="B14"/>
  <c r="B73"/>
  <c r="B15"/>
  <c r="B74"/>
  <c r="B17"/>
  <c r="B76"/>
  <c r="B18"/>
  <c r="B77"/>
  <c r="B19"/>
  <c r="B78"/>
  <c r="B20"/>
  <c r="B79"/>
  <c r="B22"/>
  <c r="B81"/>
  <c r="B23"/>
  <c r="B82"/>
  <c r="B24"/>
  <c r="B83"/>
  <c r="B25"/>
  <c r="B84"/>
  <c r="C7"/>
  <c r="C66"/>
  <c r="C8"/>
  <c r="C67"/>
  <c r="C9"/>
  <c r="C68"/>
  <c r="C10"/>
  <c r="C69"/>
  <c r="C12"/>
  <c r="C71"/>
  <c r="C13"/>
  <c r="C72"/>
  <c r="C14"/>
  <c r="C73"/>
  <c r="C15"/>
  <c r="C74"/>
  <c r="C17"/>
  <c r="C76"/>
  <c r="C18"/>
  <c r="C77"/>
  <c r="C19"/>
  <c r="C78"/>
  <c r="C20"/>
  <c r="C79"/>
  <c r="C22"/>
  <c r="C81"/>
  <c r="C23"/>
  <c r="C82"/>
  <c r="C24"/>
  <c r="C83"/>
  <c r="C25"/>
  <c r="C84"/>
  <c r="D7"/>
  <c r="D66"/>
  <c r="D8"/>
  <c r="D67"/>
  <c r="D9"/>
  <c r="D68"/>
  <c r="D10"/>
  <c r="D69"/>
  <c r="D12"/>
  <c r="D71"/>
  <c r="D13"/>
  <c r="D72"/>
  <c r="D14"/>
  <c r="D73"/>
  <c r="D15"/>
  <c r="D74"/>
  <c r="D17"/>
  <c r="D76"/>
  <c r="D18"/>
  <c r="D77"/>
  <c r="D19"/>
  <c r="D78"/>
  <c r="D20"/>
  <c r="D79"/>
  <c r="D22"/>
  <c r="D81"/>
  <c r="D23"/>
  <c r="D82"/>
  <c r="D24"/>
  <c r="D83"/>
  <c r="D25"/>
  <c r="D84"/>
  <c r="E7"/>
  <c r="E66"/>
  <c r="E8"/>
  <c r="E67"/>
  <c r="E9"/>
  <c r="E68"/>
  <c r="E10"/>
  <c r="E69"/>
  <c r="E12"/>
  <c r="E71"/>
  <c r="E13"/>
  <c r="E72"/>
  <c r="E14"/>
  <c r="E73"/>
  <c r="E15"/>
  <c r="E74"/>
  <c r="E17"/>
  <c r="E76"/>
  <c r="E18"/>
  <c r="E77"/>
  <c r="E19"/>
  <c r="E78"/>
  <c r="E20"/>
  <c r="E79"/>
  <c r="E22"/>
  <c r="E81"/>
  <c r="E23"/>
  <c r="E82"/>
  <c r="E24"/>
  <c r="E83"/>
  <c r="E25"/>
  <c r="E84"/>
  <c r="F7"/>
  <c r="F66"/>
  <c r="F8"/>
  <c r="P24" i="7"/>
  <c r="F67" i="5"/>
  <c r="F9"/>
  <c r="F68"/>
  <c r="F10"/>
  <c r="F69"/>
  <c r="F12"/>
  <c r="F71"/>
  <c r="F13"/>
  <c r="F72"/>
  <c r="F14"/>
  <c r="F73"/>
  <c r="F15"/>
  <c r="F74"/>
  <c r="F17"/>
  <c r="F76"/>
  <c r="F18"/>
  <c r="F77"/>
  <c r="F19"/>
  <c r="F78"/>
  <c r="F20"/>
  <c r="F79"/>
  <c r="F22"/>
  <c r="F81"/>
  <c r="F23"/>
  <c r="F82"/>
  <c r="F24"/>
  <c r="F83"/>
  <c r="F25"/>
  <c r="F84"/>
  <c r="G7"/>
  <c r="G66"/>
  <c r="G8"/>
  <c r="G67"/>
  <c r="G9"/>
  <c r="G68"/>
  <c r="G10"/>
  <c r="G69"/>
  <c r="G12"/>
  <c r="G71"/>
  <c r="G13"/>
  <c r="G72"/>
  <c r="G14"/>
  <c r="G73"/>
  <c r="G15"/>
  <c r="G74"/>
  <c r="G17"/>
  <c r="G76"/>
  <c r="G18"/>
  <c r="G77"/>
  <c r="G19"/>
  <c r="G78"/>
  <c r="G20"/>
  <c r="G79"/>
  <c r="G22"/>
  <c r="G81"/>
  <c r="G23"/>
  <c r="G82"/>
  <c r="G24"/>
  <c r="G83"/>
  <c r="G25"/>
  <c r="G84"/>
  <c r="M7"/>
  <c r="M8"/>
  <c r="M9"/>
  <c r="M10"/>
  <c r="M12"/>
  <c r="M13"/>
  <c r="M14"/>
  <c r="M15"/>
  <c r="M17"/>
  <c r="M18"/>
  <c r="D237" i="6"/>
  <c r="M19" i="5"/>
  <c r="M20"/>
  <c r="M22"/>
  <c r="M23"/>
  <c r="M24"/>
  <c r="M25"/>
  <c r="I7"/>
  <c r="I8"/>
  <c r="I9"/>
  <c r="I10"/>
  <c r="I12"/>
  <c r="I13"/>
  <c r="I14"/>
  <c r="I15"/>
  <c r="I17"/>
  <c r="I18"/>
  <c r="I19"/>
  <c r="I20"/>
  <c r="I22"/>
  <c r="I23"/>
  <c r="I24"/>
  <c r="I25"/>
  <c r="J7"/>
  <c r="J8"/>
  <c r="J9"/>
  <c r="J10"/>
  <c r="J12"/>
  <c r="J13"/>
  <c r="J14"/>
  <c r="J15"/>
  <c r="J17"/>
  <c r="J18"/>
  <c r="J19"/>
  <c r="J20"/>
  <c r="J22"/>
  <c r="J23"/>
  <c r="J24"/>
  <c r="J25"/>
  <c r="K7"/>
  <c r="K8"/>
  <c r="K9"/>
  <c r="K10"/>
  <c r="K12"/>
  <c r="K13"/>
  <c r="K14"/>
  <c r="K15"/>
  <c r="K17"/>
  <c r="K18"/>
  <c r="K19"/>
  <c r="K20"/>
  <c r="K22"/>
  <c r="K23"/>
  <c r="K24"/>
  <c r="K25"/>
  <c r="L7"/>
  <c r="L8"/>
  <c r="L9"/>
  <c r="L10"/>
  <c r="L12"/>
  <c r="L13"/>
  <c r="L14"/>
  <c r="L15"/>
  <c r="L17"/>
  <c r="L18"/>
  <c r="L19"/>
  <c r="L20"/>
  <c r="L22"/>
  <c r="L23"/>
  <c r="L24"/>
  <c r="L25"/>
  <c r="N7"/>
  <c r="N8"/>
  <c r="N9"/>
  <c r="N10"/>
  <c r="N12"/>
  <c r="N13"/>
  <c r="N14"/>
  <c r="N15"/>
  <c r="N17"/>
  <c r="N18"/>
  <c r="N19"/>
  <c r="N20"/>
  <c r="N22"/>
  <c r="N23"/>
  <c r="N24"/>
  <c r="N25"/>
  <c r="O7"/>
  <c r="O8"/>
  <c r="O9"/>
  <c r="O10"/>
  <c r="O12"/>
  <c r="O13"/>
  <c r="O14"/>
  <c r="O15"/>
  <c r="O17"/>
  <c r="O18"/>
  <c r="O19"/>
  <c r="O20"/>
  <c r="O22"/>
  <c r="O23"/>
  <c r="O24"/>
  <c r="O25"/>
  <c r="P7"/>
  <c r="P8"/>
  <c r="P9"/>
  <c r="P10"/>
  <c r="P12"/>
  <c r="P13"/>
  <c r="P14"/>
  <c r="P15"/>
  <c r="P17"/>
  <c r="P18"/>
  <c r="P19"/>
  <c r="P20"/>
  <c r="P22"/>
  <c r="P23"/>
  <c r="P24"/>
  <c r="P25"/>
  <c r="Q10" i="8"/>
  <c r="R11"/>
  <c r="Q12"/>
  <c r="R12"/>
  <c r="Q15"/>
  <c r="R16"/>
  <c r="Q10" i="6"/>
  <c r="R11"/>
  <c r="P25" i="7"/>
  <c r="R9" i="6"/>
  <c r="H95" i="5"/>
  <c r="R139" i="6"/>
  <c r="E100" i="5"/>
  <c r="R140" i="6"/>
  <c r="E101" i="5"/>
  <c r="R141" i="6"/>
  <c r="E102" i="5"/>
  <c r="R142" i="6"/>
  <c r="E103" i="5"/>
  <c r="R144" i="6"/>
  <c r="E105" i="5"/>
  <c r="R145" i="6"/>
  <c r="E106" i="5"/>
  <c r="R146" i="6"/>
  <c r="E107" i="5"/>
  <c r="R147" i="6"/>
  <c r="E108" i="5"/>
  <c r="R149" i="6"/>
  <c r="E110" i="5"/>
  <c r="R150" i="6"/>
  <c r="E111" i="5"/>
  <c r="R151" i="6"/>
  <c r="E112" i="5"/>
  <c r="R152" i="6"/>
  <c r="E113" i="5"/>
  <c r="R164" i="6"/>
  <c r="F95" i="5"/>
  <c r="R165" i="6"/>
  <c r="F96" i="5"/>
  <c r="R166" i="6"/>
  <c r="F97" i="5"/>
  <c r="R167" i="6"/>
  <c r="F98" i="5"/>
  <c r="R169" i="6"/>
  <c r="F100" i="5"/>
  <c r="R170" i="6"/>
  <c r="F101" i="5"/>
  <c r="R171" i="6"/>
  <c r="F102" i="5"/>
  <c r="R172" i="6"/>
  <c r="F103" i="5"/>
  <c r="R174" i="6"/>
  <c r="F105" i="5"/>
  <c r="R175" i="6"/>
  <c r="F106" i="5"/>
  <c r="R176" i="6"/>
  <c r="F107" i="5"/>
  <c r="R177" i="6"/>
  <c r="F108" i="5"/>
  <c r="R179" i="6"/>
  <c r="F110" i="5"/>
  <c r="R180" i="6"/>
  <c r="F111" i="5"/>
  <c r="R181" i="6"/>
  <c r="F112" i="5"/>
  <c r="R182" i="6"/>
  <c r="F113" i="5"/>
  <c r="R195" i="6"/>
  <c r="G95" i="5"/>
  <c r="R196" i="6"/>
  <c r="G96" i="5"/>
  <c r="R197" i="6"/>
  <c r="G97" i="5"/>
  <c r="R198" i="6"/>
  <c r="G98" i="5"/>
  <c r="R200" i="6"/>
  <c r="G100" i="5"/>
  <c r="R201" i="6"/>
  <c r="G101" i="5"/>
  <c r="R202" i="6"/>
  <c r="G102" i="5"/>
  <c r="R203" i="6"/>
  <c r="G103" i="5"/>
  <c r="R205" i="6"/>
  <c r="G105" i="5"/>
  <c r="R206" i="6"/>
  <c r="G106" i="5"/>
  <c r="R207" i="6"/>
  <c r="G107" i="5"/>
  <c r="R208" i="6"/>
  <c r="G108" i="5"/>
  <c r="R210" i="6"/>
  <c r="G110" i="5"/>
  <c r="R211" i="6"/>
  <c r="G111" i="5"/>
  <c r="R212" i="6"/>
  <c r="G112" i="5"/>
  <c r="R213" i="6"/>
  <c r="G113" i="5"/>
  <c r="Q9" i="6"/>
  <c r="Q14"/>
  <c r="R14"/>
  <c r="Q15"/>
  <c r="R15"/>
  <c r="Q16"/>
  <c r="R16"/>
  <c r="Q17"/>
  <c r="R17"/>
  <c r="Q19"/>
  <c r="R19"/>
  <c r="Q20"/>
  <c r="R20"/>
  <c r="Q21"/>
  <c r="R21"/>
  <c r="Q22"/>
  <c r="R22"/>
  <c r="Q24"/>
  <c r="R24"/>
  <c r="Q25"/>
  <c r="R25"/>
  <c r="Q26"/>
  <c r="R26"/>
  <c r="Q27"/>
  <c r="R27"/>
  <c r="Q41"/>
  <c r="R41"/>
  <c r="Q42"/>
  <c r="R42"/>
  <c r="Q43"/>
  <c r="R43"/>
  <c r="Q44"/>
  <c r="R44"/>
  <c r="Q46"/>
  <c r="R46"/>
  <c r="Q47"/>
  <c r="R47"/>
  <c r="Q48"/>
  <c r="R48"/>
  <c r="Q49"/>
  <c r="R49"/>
  <c r="Q51"/>
  <c r="R51"/>
  <c r="Q52"/>
  <c r="R52"/>
  <c r="Q53"/>
  <c r="R53"/>
  <c r="Q54"/>
  <c r="R54"/>
  <c r="Q56"/>
  <c r="R56"/>
  <c r="Q57"/>
  <c r="R57"/>
  <c r="Q58"/>
  <c r="R58"/>
  <c r="Q59"/>
  <c r="R59"/>
  <c r="Q72"/>
  <c r="R72"/>
  <c r="Q73"/>
  <c r="R73"/>
  <c r="Q74"/>
  <c r="R74"/>
  <c r="Q75"/>
  <c r="R75"/>
  <c r="Q77"/>
  <c r="R77"/>
  <c r="Q78"/>
  <c r="R78"/>
  <c r="Q79"/>
  <c r="R79"/>
  <c r="Q80"/>
  <c r="R80"/>
  <c r="Q82"/>
  <c r="R82"/>
  <c r="Q83"/>
  <c r="R83"/>
  <c r="Q84"/>
  <c r="R84"/>
  <c r="Q85"/>
  <c r="R85"/>
  <c r="Q87"/>
  <c r="R87"/>
  <c r="Q88"/>
  <c r="R88"/>
  <c r="Q89"/>
  <c r="R89"/>
  <c r="Q90"/>
  <c r="R90"/>
  <c r="Q103"/>
  <c r="R103"/>
  <c r="Q104"/>
  <c r="R104"/>
  <c r="Q105"/>
  <c r="R105"/>
  <c r="Q106"/>
  <c r="R106"/>
  <c r="Q108"/>
  <c r="R108"/>
  <c r="Q109"/>
  <c r="R109"/>
  <c r="Q110"/>
  <c r="R110"/>
  <c r="Q111"/>
  <c r="R111"/>
  <c r="Q113"/>
  <c r="R113"/>
  <c r="Q114"/>
  <c r="R114"/>
  <c r="Q115"/>
  <c r="R115"/>
  <c r="Q116"/>
  <c r="R116"/>
  <c r="Q118"/>
  <c r="R118"/>
  <c r="Q119"/>
  <c r="R119"/>
  <c r="Q120"/>
  <c r="R120"/>
  <c r="Q121"/>
  <c r="R121"/>
  <c r="Q134"/>
  <c r="R134"/>
  <c r="Q135"/>
  <c r="R135"/>
  <c r="Q136"/>
  <c r="R136"/>
  <c r="Q137"/>
  <c r="R137"/>
  <c r="Q139"/>
  <c r="H38" i="5"/>
  <c r="Q38" s="1"/>
  <c r="E41"/>
  <c r="E43"/>
  <c r="E46"/>
  <c r="E48"/>
  <c r="E51"/>
  <c r="E53"/>
  <c r="F36"/>
  <c r="F38"/>
  <c r="F41"/>
  <c r="F43"/>
  <c r="F46"/>
  <c r="F48"/>
  <c r="F51"/>
  <c r="F53"/>
  <c r="G36"/>
  <c r="G38"/>
  <c r="G41"/>
  <c r="G43"/>
  <c r="G46"/>
  <c r="G48"/>
  <c r="G51"/>
  <c r="G53"/>
  <c r="M38"/>
  <c r="R38" s="1"/>
  <c r="M48"/>
  <c r="R48" s="1"/>
  <c r="J36"/>
  <c r="J38"/>
  <c r="J46"/>
  <c r="J48"/>
  <c r="K41"/>
  <c r="K43"/>
  <c r="K51"/>
  <c r="K53"/>
  <c r="L41"/>
  <c r="L43"/>
  <c r="L51"/>
  <c r="L53"/>
  <c r="P36"/>
  <c r="S36" s="1"/>
  <c r="P38"/>
  <c r="P46"/>
  <c r="S46" s="1"/>
  <c r="P48"/>
  <c r="S48" s="1"/>
  <c r="N36"/>
  <c r="N38"/>
  <c r="N46"/>
  <c r="N48"/>
  <c r="O36"/>
  <c r="O38"/>
  <c r="O46"/>
  <c r="O48"/>
  <c r="H98"/>
  <c r="H37"/>
  <c r="E42"/>
  <c r="E45"/>
  <c r="E47"/>
  <c r="E50"/>
  <c r="E52"/>
  <c r="F35"/>
  <c r="F37"/>
  <c r="F40"/>
  <c r="F42"/>
  <c r="F45"/>
  <c r="F47"/>
  <c r="F50"/>
  <c r="F52"/>
  <c r="G35"/>
  <c r="G37"/>
  <c r="G40"/>
  <c r="G42"/>
  <c r="G45"/>
  <c r="G47"/>
  <c r="G50"/>
  <c r="G52"/>
  <c r="M35"/>
  <c r="R35" s="1"/>
  <c r="M37"/>
  <c r="R37" s="1"/>
  <c r="M45"/>
  <c r="R45" s="1"/>
  <c r="M47"/>
  <c r="R47" s="1"/>
  <c r="J35"/>
  <c r="J37"/>
  <c r="J45"/>
  <c r="J47"/>
  <c r="K40"/>
  <c r="K42"/>
  <c r="K50"/>
  <c r="K52"/>
  <c r="L40"/>
  <c r="L42"/>
  <c r="L50"/>
  <c r="L52"/>
  <c r="P35"/>
  <c r="P37"/>
  <c r="P45"/>
  <c r="P47"/>
  <c r="N35"/>
  <c r="N37"/>
  <c r="N45"/>
  <c r="N47"/>
  <c r="O35"/>
  <c r="O37"/>
  <c r="O45"/>
  <c r="O47"/>
  <c r="H96"/>
  <c r="Q9" i="8"/>
  <c r="H35" i="7"/>
  <c r="Q35" i="5" s="1"/>
  <c r="R10" i="8"/>
  <c r="H96" i="7"/>
  <c r="Q14" i="8"/>
  <c r="H40" i="7"/>
  <c r="Q40" i="5" s="1"/>
  <c r="R15" i="8"/>
  <c r="H101" i="7"/>
  <c r="Q17" i="8"/>
  <c r="H43" i="7"/>
  <c r="Q43" i="5" s="1"/>
  <c r="Q19" i="8"/>
  <c r="H45" i="7"/>
  <c r="Q45" i="5" s="1"/>
  <c r="R20" i="8"/>
  <c r="H106" i="7"/>
  <c r="Q25" i="8"/>
  <c r="H51" i="7"/>
  <c r="Q51" i="5" s="1"/>
  <c r="R26" i="8"/>
  <c r="H112" i="7"/>
  <c r="R48" i="8"/>
  <c r="B102" i="7"/>
  <c r="R49" i="8"/>
  <c r="B103" i="7"/>
  <c r="R51" i="8"/>
  <c r="B105" i="7"/>
  <c r="R52" i="8"/>
  <c r="B106" i="7"/>
  <c r="R53" i="8"/>
  <c r="B107" i="7"/>
  <c r="R54" i="8"/>
  <c r="B108" i="7"/>
  <c r="R56" i="8"/>
  <c r="B110" i="7"/>
  <c r="R57" i="8"/>
  <c r="B111" i="7"/>
  <c r="R58" i="8"/>
  <c r="B112" i="7"/>
  <c r="R59" i="8"/>
  <c r="B113" i="7"/>
  <c r="R72" i="8"/>
  <c r="C95" i="7"/>
  <c r="R73" i="8"/>
  <c r="C96" i="7"/>
  <c r="R74" i="8"/>
  <c r="C97" i="7"/>
  <c r="R75" i="8"/>
  <c r="C98" i="7"/>
  <c r="R77" i="8"/>
  <c r="C100" i="7"/>
  <c r="R78" i="8"/>
  <c r="C101" i="7"/>
  <c r="R79" i="8"/>
  <c r="C102" i="7"/>
  <c r="R80" i="8"/>
  <c r="C103" i="7"/>
  <c r="R82" i="8"/>
  <c r="C105" i="7"/>
  <c r="R83" i="8"/>
  <c r="C106" i="7"/>
  <c r="R84" i="8"/>
  <c r="C107" i="7"/>
  <c r="R85" i="8"/>
  <c r="C108" i="7"/>
  <c r="R87" i="8"/>
  <c r="C110" i="7"/>
  <c r="R88" i="8"/>
  <c r="C111" i="7"/>
  <c r="R89" i="8"/>
  <c r="C112" i="7"/>
  <c r="R90" i="8"/>
  <c r="C113" i="7"/>
  <c r="R103" i="8"/>
  <c r="D95" i="7"/>
  <c r="R104" i="8"/>
  <c r="D96" i="7"/>
  <c r="R105" i="8"/>
  <c r="D97" i="7"/>
  <c r="R106" i="8"/>
  <c r="D98" i="7"/>
  <c r="R108" i="8"/>
  <c r="D100" i="7"/>
  <c r="R109" i="8"/>
  <c r="D101" i="7"/>
  <c r="R110" i="8"/>
  <c r="D102" i="7"/>
  <c r="R111" i="8"/>
  <c r="D103" i="7"/>
  <c r="R113" i="8"/>
  <c r="D105" i="7"/>
  <c r="R114" i="8"/>
  <c r="D106" i="7"/>
  <c r="R115" i="8"/>
  <c r="D107" i="7"/>
  <c r="R116" i="8"/>
  <c r="D108" i="7"/>
  <c r="R118" i="8"/>
  <c r="D110" i="7"/>
  <c r="R119" i="8"/>
  <c r="D111" i="7"/>
  <c r="R120" i="8"/>
  <c r="D112" i="7"/>
  <c r="R121" i="8"/>
  <c r="D113" i="7"/>
  <c r="R134" i="8"/>
  <c r="E95" i="7"/>
  <c r="R135" i="8"/>
  <c r="E96" i="7"/>
  <c r="R136" i="8"/>
  <c r="E97" i="7"/>
  <c r="R137" i="8"/>
  <c r="E98" i="7"/>
  <c r="R139" i="8"/>
  <c r="E100" i="7"/>
  <c r="R140" i="8"/>
  <c r="E101" i="7"/>
  <c r="R141" i="8"/>
  <c r="E102" i="7"/>
  <c r="R142" i="8"/>
  <c r="E103" i="7"/>
  <c r="R144" i="8"/>
  <c r="E105" i="7"/>
  <c r="R145" i="8"/>
  <c r="E106" i="7"/>
  <c r="R146" i="8"/>
  <c r="E107" i="7"/>
  <c r="Q227" i="8"/>
  <c r="M36" i="7"/>
  <c r="R36" i="5" s="1"/>
  <c r="Q231" i="8"/>
  <c r="M40" i="7"/>
  <c r="R40" i="5" s="1"/>
  <c r="Q233" i="8"/>
  <c r="M42" i="7"/>
  <c r="R42" i="5" s="1"/>
  <c r="Q241" i="8"/>
  <c r="M50" i="7"/>
  <c r="R50" i="5" s="1"/>
  <c r="Q243" i="8"/>
  <c r="M52" i="7"/>
  <c r="R52" i="5" s="1"/>
  <c r="Q257" i="8"/>
  <c r="I35" i="7"/>
  <c r="Q259" i="8"/>
  <c r="I37" i="7"/>
  <c r="Q267" i="8"/>
  <c r="I45" i="7"/>
  <c r="Q269" i="8"/>
  <c r="I47" i="7"/>
  <c r="Q293" i="8"/>
  <c r="J40" i="7"/>
  <c r="Q295" i="8"/>
  <c r="J42" i="7"/>
  <c r="Q303" i="8"/>
  <c r="J50" i="7"/>
  <c r="Q305" i="8"/>
  <c r="J52" i="7"/>
  <c r="Q319" i="8"/>
  <c r="K35" i="7"/>
  <c r="Q321" i="8"/>
  <c r="K37" i="7"/>
  <c r="Q329" i="8"/>
  <c r="K45" i="7"/>
  <c r="Q331" i="8"/>
  <c r="K47" i="7"/>
  <c r="Q349" i="8"/>
  <c r="L35" i="7"/>
  <c r="Q351" i="8"/>
  <c r="L37" i="7"/>
  <c r="Q359" i="8"/>
  <c r="L45" i="7"/>
  <c r="Q361" i="8"/>
  <c r="L47" i="7"/>
  <c r="Q421" i="8"/>
  <c r="N46" i="7"/>
  <c r="Q423" i="8"/>
  <c r="N48" i="7"/>
  <c r="Q441" i="8"/>
  <c r="O36" i="7"/>
  <c r="Q443" i="8"/>
  <c r="O38" i="7"/>
  <c r="Q455" i="8"/>
  <c r="O50" i="7"/>
  <c r="Q457" i="8"/>
  <c r="O52" i="7"/>
  <c r="E78"/>
  <c r="E79"/>
  <c r="E81"/>
  <c r="E82"/>
  <c r="E83"/>
  <c r="E84"/>
  <c r="F66"/>
  <c r="F67"/>
  <c r="F68"/>
  <c r="F69"/>
  <c r="F71"/>
  <c r="F72"/>
  <c r="F73"/>
  <c r="F74"/>
  <c r="F76"/>
  <c r="F77"/>
  <c r="F78"/>
  <c r="F79"/>
  <c r="F81"/>
  <c r="F82"/>
  <c r="F83"/>
  <c r="F84"/>
  <c r="G66"/>
  <c r="G67"/>
  <c r="G68"/>
  <c r="G69"/>
  <c r="G71"/>
  <c r="G72"/>
  <c r="G73"/>
  <c r="G74"/>
  <c r="G76"/>
  <c r="G77"/>
  <c r="G78"/>
  <c r="G79"/>
  <c r="G81"/>
  <c r="G82"/>
  <c r="G83"/>
  <c r="G84"/>
  <c r="N25"/>
  <c r="O8"/>
  <c r="O10"/>
  <c r="O12"/>
  <c r="O14"/>
  <c r="O18"/>
  <c r="O20"/>
  <c r="O22"/>
  <c r="O24"/>
  <c r="R9" i="8"/>
  <c r="H95" i="7"/>
  <c r="Q11" i="8"/>
  <c r="H37" i="7"/>
  <c r="R14" i="8"/>
  <c r="H100" i="7"/>
  <c r="Q16" i="8"/>
  <c r="H42" i="7"/>
  <c r="R17" i="8"/>
  <c r="H103" i="7"/>
  <c r="Q20" i="8"/>
  <c r="H46" i="7"/>
  <c r="Q46" i="5" s="1"/>
  <c r="Q21" i="8"/>
  <c r="H47" i="7"/>
  <c r="Q47" i="5" s="1"/>
  <c r="R25" i="8"/>
  <c r="H111" i="7"/>
  <c r="Q27" i="8"/>
  <c r="H53" i="7"/>
  <c r="Q53" i="5" s="1"/>
  <c r="Q49" i="8"/>
  <c r="B43" i="7"/>
  <c r="Q51" i="8"/>
  <c r="B45" i="7"/>
  <c r="Q52" i="8"/>
  <c r="B46" i="7"/>
  <c r="Q53" i="8"/>
  <c r="B47" i="7"/>
  <c r="Q54" i="8"/>
  <c r="B48" i="7"/>
  <c r="Q56" i="8"/>
  <c r="B50" i="7"/>
  <c r="Q57" i="8"/>
  <c r="B51" i="7"/>
  <c r="Q58" i="8"/>
  <c r="B52" i="7"/>
  <c r="Q59" i="8"/>
  <c r="B53" i="7"/>
  <c r="Q72" i="8"/>
  <c r="C35" i="7"/>
  <c r="Q73" i="8"/>
  <c r="C36" i="7"/>
  <c r="Q74" i="8"/>
  <c r="C37" i="7"/>
  <c r="Q75" i="8"/>
  <c r="C38" i="7"/>
  <c r="Q77" i="8"/>
  <c r="C40" i="7"/>
  <c r="Q78" i="8"/>
  <c r="C41" i="7"/>
  <c r="Q79" i="8"/>
  <c r="C42" i="7"/>
  <c r="Q80" i="8"/>
  <c r="C43" i="7"/>
  <c r="Q82" i="8"/>
  <c r="C45" i="7"/>
  <c r="Q83" i="8"/>
  <c r="C46" i="7"/>
  <c r="Q84" i="8"/>
  <c r="C47" i="7"/>
  <c r="Q85" i="8"/>
  <c r="C48" i="7"/>
  <c r="Q87" i="8"/>
  <c r="C50" i="7"/>
  <c r="Q88" i="8"/>
  <c r="C51" i="7"/>
  <c r="Q89" i="8"/>
  <c r="C52" i="7"/>
  <c r="Q90" i="8"/>
  <c r="C53" i="7"/>
  <c r="Q103" i="8"/>
  <c r="D35" i="7"/>
  <c r="Q104" i="8"/>
  <c r="D36" i="7"/>
  <c r="Q105" i="8"/>
  <c r="D37" i="7"/>
  <c r="Q106" i="8"/>
  <c r="D38" i="7"/>
  <c r="Q108" i="8"/>
  <c r="D40" i="7"/>
  <c r="Q109" i="8"/>
  <c r="D41" i="7"/>
  <c r="Q110" i="8"/>
  <c r="D42" i="7"/>
  <c r="Q111" i="8"/>
  <c r="D43" i="7"/>
  <c r="Q113" i="8"/>
  <c r="D45" i="7"/>
  <c r="Q114" i="8"/>
  <c r="D46" i="7"/>
  <c r="Q115" i="8"/>
  <c r="D47" i="7"/>
  <c r="Q116" i="8"/>
  <c r="D48" i="7"/>
  <c r="Q118" i="8"/>
  <c r="D50" i="7"/>
  <c r="Q119" i="8"/>
  <c r="D51" i="7"/>
  <c r="Q120" i="8"/>
  <c r="D52" i="7"/>
  <c r="Q121" i="8"/>
  <c r="D53" i="7"/>
  <c r="Q134" i="8"/>
  <c r="E35" i="7"/>
  <c r="Q135" i="8"/>
  <c r="E36" i="7"/>
  <c r="Q136" i="8"/>
  <c r="E37" i="7"/>
  <c r="Q137" i="8"/>
  <c r="E38" i="7"/>
  <c r="Q139" i="8"/>
  <c r="E40" i="7"/>
  <c r="Q140" i="8"/>
  <c r="E41" i="7"/>
  <c r="Q141" i="8"/>
  <c r="E42" i="7"/>
  <c r="Q142" i="8"/>
  <c r="E43" i="7"/>
  <c r="Q144" i="8"/>
  <c r="E45" i="7"/>
  <c r="Q145" i="8"/>
  <c r="E46" i="7"/>
  <c r="Q146" i="8"/>
  <c r="E47" i="7"/>
  <c r="Q232" i="8"/>
  <c r="M41" i="7"/>
  <c r="Q234" i="8"/>
  <c r="M43" i="7"/>
  <c r="R43" i="5" s="1"/>
  <c r="Q242" i="8"/>
  <c r="M51" i="7"/>
  <c r="R51" i="5" s="1"/>
  <c r="Q244" i="8"/>
  <c r="M53" i="7"/>
  <c r="R53" i="5" s="1"/>
  <c r="Q258" i="8"/>
  <c r="I36" i="7"/>
  <c r="Q260" i="8"/>
  <c r="I38" i="7"/>
  <c r="Q268" i="8"/>
  <c r="I46" i="7"/>
  <c r="Q270" i="8"/>
  <c r="I48" i="7"/>
  <c r="Q294" i="8"/>
  <c r="J41" i="7"/>
  <c r="Q296" i="8"/>
  <c r="J43" i="7"/>
  <c r="Q304" i="8"/>
  <c r="J51" i="7"/>
  <c r="Q306" i="8"/>
  <c r="J53" i="7"/>
  <c r="Q320" i="8"/>
  <c r="K36" i="7"/>
  <c r="Q322" i="8"/>
  <c r="K38" i="7"/>
  <c r="Q330" i="8"/>
  <c r="K46" i="7"/>
  <c r="Q332" i="8"/>
  <c r="K48" i="7"/>
  <c r="Q350" i="8"/>
  <c r="L36" i="7"/>
  <c r="Q352" i="8"/>
  <c r="L38" i="7"/>
  <c r="Q360" i="8"/>
  <c r="L46" i="7"/>
  <c r="Q362" i="8"/>
  <c r="L48" i="7"/>
  <c r="Q420" i="8"/>
  <c r="N45" i="7"/>
  <c r="Q422" i="8"/>
  <c r="N47" i="7"/>
  <c r="Q440" i="8"/>
  <c r="O35" i="7"/>
  <c r="Q442" i="8"/>
  <c r="O37" i="7"/>
  <c r="Q448" i="8"/>
  <c r="O43" i="7"/>
  <c r="Q456" i="8"/>
  <c r="O51" i="7"/>
  <c r="Q458" i="8"/>
  <c r="O53" i="7"/>
  <c r="Q382" i="8"/>
  <c r="P37" i="7"/>
  <c r="Q390" i="8"/>
  <c r="P45" i="7"/>
  <c r="Q380" i="8"/>
  <c r="P35" i="7"/>
  <c r="R19" i="8"/>
  <c r="Q228"/>
  <c r="Q229"/>
  <c r="Q236"/>
  <c r="Q237"/>
  <c r="Q238"/>
  <c r="Q239"/>
  <c r="Q262"/>
  <c r="Q263"/>
  <c r="Q264"/>
  <c r="Q265"/>
  <c r="Q272"/>
  <c r="Q273"/>
  <c r="Q274"/>
  <c r="Q275"/>
  <c r="Q288"/>
  <c r="Q289"/>
  <c r="Q290"/>
  <c r="Q291"/>
  <c r="Q298"/>
  <c r="Q299"/>
  <c r="Q300"/>
  <c r="Q301"/>
  <c r="Q324"/>
  <c r="Q325"/>
  <c r="Q326"/>
  <c r="Q327"/>
  <c r="Q334"/>
  <c r="Q335"/>
  <c r="Q336"/>
  <c r="Q337"/>
  <c r="Q354"/>
  <c r="Q355"/>
  <c r="Q356"/>
  <c r="Q357"/>
  <c r="Q364"/>
  <c r="Q365"/>
  <c r="Q366"/>
  <c r="Q367"/>
  <c r="Q450"/>
  <c r="Q451"/>
  <c r="Q452"/>
  <c r="Q453"/>
  <c r="Q381"/>
  <c r="P47" i="7"/>
  <c r="I40" i="5"/>
  <c r="I42"/>
  <c r="I50"/>
  <c r="I52"/>
  <c r="I41"/>
  <c r="I43"/>
  <c r="I51"/>
  <c r="I53"/>
  <c r="Q147" i="8"/>
  <c r="Q385"/>
  <c r="Q386"/>
  <c r="Q387"/>
  <c r="Q388"/>
  <c r="Q395"/>
  <c r="Q396"/>
  <c r="Q397"/>
  <c r="Q398"/>
  <c r="Q415"/>
  <c r="Q417"/>
  <c r="Q418"/>
  <c r="Q425"/>
  <c r="Q426"/>
  <c r="Q427"/>
  <c r="Q428"/>
  <c r="Q447"/>
  <c r="Q13" i="6"/>
  <c r="I229"/>
  <c r="J228"/>
  <c r="K228" s="1"/>
  <c r="L228" s="1"/>
  <c r="M228" s="1"/>
  <c r="N228" s="1"/>
  <c r="O228" s="1"/>
  <c r="Q331"/>
  <c r="Q332"/>
  <c r="Q349"/>
  <c r="Q350"/>
  <c r="Q351"/>
  <c r="Q352"/>
  <c r="Q359"/>
  <c r="Q360"/>
  <c r="Q361"/>
  <c r="Q362"/>
  <c r="Q385"/>
  <c r="Q386"/>
  <c r="Q387"/>
  <c r="Q388"/>
  <c r="Q395"/>
  <c r="Q396"/>
  <c r="Q397"/>
  <c r="Q398"/>
  <c r="Q415"/>
  <c r="Q416"/>
  <c r="Q417"/>
  <c r="Q418"/>
  <c r="Q425"/>
  <c r="Q426"/>
  <c r="Q427"/>
  <c r="Q428"/>
  <c r="Q445"/>
  <c r="Q446"/>
  <c r="Q447"/>
  <c r="Q448"/>
  <c r="Q455"/>
  <c r="Q456"/>
  <c r="J227"/>
  <c r="K227" s="1"/>
  <c r="L227" s="1"/>
  <c r="M227" s="1"/>
  <c r="N227" s="1"/>
  <c r="O227" s="1"/>
  <c r="R41" i="5" l="1"/>
  <c r="Q42"/>
  <c r="H48" i="7"/>
  <c r="Q22" i="8"/>
  <c r="H50" i="7"/>
  <c r="Q24" i="8"/>
  <c r="H52" i="7"/>
  <c r="Q26" i="8"/>
  <c r="H107" i="7"/>
  <c r="R21" i="8"/>
  <c r="H108" i="7"/>
  <c r="R22" i="8"/>
  <c r="H110" i="7"/>
  <c r="R24" i="8"/>
  <c r="H113" i="7"/>
  <c r="R27" i="8"/>
  <c r="B35" i="7"/>
  <c r="Q41" i="8"/>
  <c r="B95" i="7"/>
  <c r="R41" i="8"/>
  <c r="B36" i="7"/>
  <c r="Q42" i="8"/>
  <c r="B96" i="7"/>
  <c r="R42" i="8"/>
  <c r="B37" i="7"/>
  <c r="Q43" i="8"/>
  <c r="B97" i="7"/>
  <c r="R43" i="8"/>
  <c r="B38" i="7"/>
  <c r="Q44" i="8"/>
  <c r="B98" i="7"/>
  <c r="R44" i="8"/>
  <c r="B40" i="7"/>
  <c r="Q46" i="8"/>
  <c r="B100" i="7"/>
  <c r="R46" i="8"/>
  <c r="B41" i="7"/>
  <c r="Q47" i="8"/>
  <c r="B101" i="7"/>
  <c r="R47" i="8"/>
  <c r="B42" i="7"/>
  <c r="Q48" i="8"/>
  <c r="Q50" i="5"/>
  <c r="Q52"/>
  <c r="P38" i="7"/>
  <c r="S38" i="5" s="1"/>
  <c r="Q383" i="8"/>
  <c r="Q48" i="5"/>
  <c r="Q236" i="6"/>
  <c r="S45" i="5"/>
  <c r="S35"/>
  <c r="Q37"/>
  <c r="M46"/>
  <c r="R46" s="1"/>
  <c r="Q237" i="6"/>
  <c r="S47" i="5"/>
  <c r="S37"/>
  <c r="J229" i="6"/>
  <c r="K229" s="1"/>
  <c r="L229" s="1"/>
  <c r="M229" s="1"/>
  <c r="N229" s="1"/>
  <c r="O229" s="1"/>
  <c r="I231"/>
  <c r="I232" l="1"/>
  <c r="J231"/>
  <c r="K231" s="1"/>
  <c r="L231" s="1"/>
  <c r="M231" s="1"/>
  <c r="N231" s="1"/>
  <c r="O231" s="1"/>
  <c r="I233" l="1"/>
  <c r="J232"/>
  <c r="K232" s="1"/>
  <c r="L232" s="1"/>
  <c r="M232" s="1"/>
  <c r="N232" s="1"/>
  <c r="O232" s="1"/>
  <c r="P83" i="9"/>
  <c r="P82"/>
  <c r="P81"/>
  <c r="P80"/>
  <c r="P79"/>
  <c r="P78"/>
  <c r="P77"/>
  <c r="P76"/>
  <c r="P75"/>
  <c r="P74"/>
  <c r="P73"/>
  <c r="P72"/>
  <c r="S83"/>
  <c r="S82"/>
  <c r="S81"/>
  <c r="S80"/>
  <c r="S79"/>
  <c r="S78"/>
  <c r="S77"/>
  <c r="S76"/>
  <c r="S75"/>
  <c r="S74"/>
  <c r="S73"/>
  <c r="S72"/>
  <c r="S71"/>
  <c r="S70"/>
  <c r="S69"/>
  <c r="F71"/>
  <c r="F69"/>
  <c r="C68"/>
  <c r="C62"/>
  <c r="C61"/>
  <c r="AD82"/>
  <c r="AD80"/>
  <c r="AD78"/>
  <c r="AD76"/>
  <c r="AD74"/>
  <c r="AD72"/>
  <c r="AG82"/>
  <c r="AG80"/>
  <c r="AG78"/>
  <c r="AG76"/>
  <c r="AG74"/>
  <c r="AG72"/>
  <c r="AG70"/>
  <c r="AG68"/>
  <c r="Q68"/>
  <c r="Q61"/>
  <c r="C60"/>
  <c r="C59"/>
  <c r="C58"/>
  <c r="C57"/>
  <c r="C56"/>
  <c r="C55"/>
  <c r="C54"/>
  <c r="C53"/>
  <c r="C52"/>
  <c r="C51"/>
  <c r="H71"/>
  <c r="H69"/>
  <c r="D68"/>
  <c r="D62"/>
  <c r="D61"/>
  <c r="D60"/>
  <c r="AB82"/>
  <c r="AB80"/>
  <c r="AB78"/>
  <c r="AB76"/>
  <c r="AB74"/>
  <c r="AB72"/>
  <c r="AE82"/>
  <c r="AE80"/>
  <c r="AE78"/>
  <c r="AE76"/>
  <c r="AE74"/>
  <c r="AE72"/>
  <c r="AE70"/>
  <c r="AD71"/>
  <c r="O68"/>
  <c r="O61"/>
  <c r="V81"/>
  <c r="V77"/>
  <c r="V73"/>
  <c r="Y81"/>
  <c r="Y77"/>
  <c r="Y73"/>
  <c r="Y69"/>
  <c r="I62"/>
  <c r="O59"/>
  <c r="O57"/>
  <c r="O55"/>
  <c r="O53"/>
  <c r="O51"/>
  <c r="B70"/>
  <c r="P62"/>
  <c r="P60"/>
  <c r="Z82"/>
  <c r="Z80"/>
  <c r="Z78"/>
  <c r="Z76"/>
  <c r="Z74"/>
  <c r="Z72"/>
  <c r="AC82"/>
  <c r="AC80"/>
  <c r="AC78"/>
  <c r="AC76"/>
  <c r="AC74"/>
  <c r="T82"/>
  <c r="T80"/>
  <c r="T78"/>
  <c r="T76"/>
  <c r="T74"/>
  <c r="T72"/>
  <c r="W82"/>
  <c r="W80"/>
  <c r="W78"/>
  <c r="W76"/>
  <c r="W74"/>
  <c r="W72"/>
  <c r="W70"/>
  <c r="N71"/>
  <c r="H83"/>
  <c r="H82"/>
  <c r="H81"/>
  <c r="H80"/>
  <c r="H79"/>
  <c r="H78"/>
  <c r="H77"/>
  <c r="H76"/>
  <c r="H75"/>
  <c r="H74"/>
  <c r="H73"/>
  <c r="H72"/>
  <c r="K83"/>
  <c r="K82"/>
  <c r="K81"/>
  <c r="K80"/>
  <c r="K79"/>
  <c r="K78"/>
  <c r="K77"/>
  <c r="K76"/>
  <c r="K75"/>
  <c r="K74"/>
  <c r="K73"/>
  <c r="K72"/>
  <c r="K71"/>
  <c r="K70"/>
  <c r="K69"/>
  <c r="T70"/>
  <c r="AA68"/>
  <c r="AA62"/>
  <c r="AA61"/>
  <c r="AA60"/>
  <c r="N82"/>
  <c r="N80"/>
  <c r="N78"/>
  <c r="N76"/>
  <c r="N74"/>
  <c r="N72"/>
  <c r="Q82"/>
  <c r="Q80"/>
  <c r="Q78"/>
  <c r="Q76"/>
  <c r="Q74"/>
  <c r="Q72"/>
  <c r="Q70"/>
  <c r="B71"/>
  <c r="AG62"/>
  <c r="AG60"/>
  <c r="AA59"/>
  <c r="AA58"/>
  <c r="AA57"/>
  <c r="AA56"/>
  <c r="AA55"/>
  <c r="AA54"/>
  <c r="AA53"/>
  <c r="AA52"/>
  <c r="AA51"/>
  <c r="AA50"/>
  <c r="Z70"/>
  <c r="AB68"/>
  <c r="AB62"/>
  <c r="AB61"/>
  <c r="AB60"/>
  <c r="AB59"/>
  <c r="L82"/>
  <c r="L80"/>
  <c r="L78"/>
  <c r="L76"/>
  <c r="L74"/>
  <c r="L72"/>
  <c r="O82"/>
  <c r="O80"/>
  <c r="O78"/>
  <c r="O76"/>
  <c r="O74"/>
  <c r="O72"/>
  <c r="O70"/>
  <c r="AB70"/>
  <c r="AE62"/>
  <c r="AE60"/>
  <c r="V80"/>
  <c r="V76"/>
  <c r="V72"/>
  <c r="Y80"/>
  <c r="Y76"/>
  <c r="Y72"/>
  <c r="R71"/>
  <c r="I61"/>
  <c r="AE58"/>
  <c r="AE56"/>
  <c r="AE54"/>
  <c r="AE52"/>
  <c r="AE50"/>
  <c r="AF68"/>
  <c r="AF61"/>
  <c r="AF59"/>
  <c r="J82"/>
  <c r="J80"/>
  <c r="J78"/>
  <c r="J76"/>
  <c r="J74"/>
  <c r="J72"/>
  <c r="M82"/>
  <c r="M80"/>
  <c r="M78"/>
  <c r="M76"/>
  <c r="M74"/>
  <c r="D82"/>
  <c r="D80"/>
  <c r="D78"/>
  <c r="D76"/>
  <c r="D74"/>
  <c r="D72"/>
  <c r="G82"/>
  <c r="G80"/>
  <c r="G78"/>
  <c r="G76"/>
  <c r="G74"/>
  <c r="G72"/>
  <c r="G70"/>
  <c r="L70"/>
  <c r="W62"/>
  <c r="W60"/>
  <c r="F80"/>
  <c r="F76"/>
  <c r="F72"/>
  <c r="I80"/>
  <c r="I76"/>
  <c r="G61"/>
  <c r="F77"/>
  <c r="I81"/>
  <c r="I74"/>
  <c r="I70"/>
  <c r="Y62"/>
  <c r="W59"/>
  <c r="AF83"/>
  <c r="AF82"/>
  <c r="AF81"/>
  <c r="AF80"/>
  <c r="AF79"/>
  <c r="AF78"/>
  <c r="AF77"/>
  <c r="AF76"/>
  <c r="AF75"/>
  <c r="AF74"/>
  <c r="AF73"/>
  <c r="AF72"/>
  <c r="AF71"/>
  <c r="C83"/>
  <c r="C82"/>
  <c r="C81"/>
  <c r="C80"/>
  <c r="C79"/>
  <c r="C78"/>
  <c r="C77"/>
  <c r="C76"/>
  <c r="C75"/>
  <c r="C74"/>
  <c r="C73"/>
  <c r="C72"/>
  <c r="C71"/>
  <c r="C70"/>
  <c r="C69"/>
  <c r="D70"/>
  <c r="S68"/>
  <c r="S62"/>
  <c r="S61"/>
  <c r="AD83"/>
  <c r="AD81"/>
  <c r="AD79"/>
  <c r="AD77"/>
  <c r="AD75"/>
  <c r="AD73"/>
  <c r="AG83"/>
  <c r="AG81"/>
  <c r="AG79"/>
  <c r="AG77"/>
  <c r="AG75"/>
  <c r="AG73"/>
  <c r="AG71"/>
  <c r="AG69"/>
  <c r="AF69"/>
  <c r="Q62"/>
  <c r="S60"/>
  <c r="S59"/>
  <c r="S58"/>
  <c r="S57"/>
  <c r="S56"/>
  <c r="S55"/>
  <c r="S54"/>
  <c r="S53"/>
  <c r="S52"/>
  <c r="S51"/>
  <c r="S50"/>
  <c r="J70"/>
  <c r="T68"/>
  <c r="T62"/>
  <c r="T61"/>
  <c r="T60"/>
  <c r="AB83"/>
  <c r="AB81"/>
  <c r="AB79"/>
  <c r="AB77"/>
  <c r="AB75"/>
  <c r="AB73"/>
  <c r="AE83"/>
  <c r="AE81"/>
  <c r="AE79"/>
  <c r="AE77"/>
  <c r="AE75"/>
  <c r="AE73"/>
  <c r="AE71"/>
  <c r="AE69"/>
  <c r="AD69"/>
  <c r="O62"/>
  <c r="V83"/>
  <c r="V79"/>
  <c r="V75"/>
  <c r="Y83"/>
  <c r="Y79"/>
  <c r="Y75"/>
  <c r="Y71"/>
  <c r="R69"/>
  <c r="O60"/>
  <c r="O58"/>
  <c r="O56"/>
  <c r="O54"/>
  <c r="O52"/>
  <c r="O50"/>
  <c r="P68"/>
  <c r="P61"/>
  <c r="Z83"/>
  <c r="Z81"/>
  <c r="Z79"/>
  <c r="Z77"/>
  <c r="Z75"/>
  <c r="Z73"/>
  <c r="AC83"/>
  <c r="AC81"/>
  <c r="AC79"/>
  <c r="AC77"/>
  <c r="AC75"/>
  <c r="T83"/>
  <c r="T81"/>
  <c r="T79"/>
  <c r="T77"/>
  <c r="T75"/>
  <c r="T73"/>
  <c r="W83"/>
  <c r="W81"/>
  <c r="W79"/>
  <c r="W77"/>
  <c r="W75"/>
  <c r="W73"/>
  <c r="W71"/>
  <c r="W69"/>
  <c r="X83"/>
  <c r="X82"/>
  <c r="X81"/>
  <c r="X80"/>
  <c r="X79"/>
  <c r="X78"/>
  <c r="X77"/>
  <c r="X76"/>
  <c r="X75"/>
  <c r="X74"/>
  <c r="X73"/>
  <c r="X72"/>
  <c r="AA83"/>
  <c r="AA82"/>
  <c r="AA81"/>
  <c r="AA80"/>
  <c r="AA79"/>
  <c r="AA78"/>
  <c r="AA77"/>
  <c r="AA76"/>
  <c r="AA75"/>
  <c r="AA74"/>
  <c r="AA73"/>
  <c r="AA72"/>
  <c r="AA71"/>
  <c r="AA70"/>
  <c r="AA69"/>
  <c r="V71"/>
  <c r="V69"/>
  <c r="K68"/>
  <c r="K62"/>
  <c r="K61"/>
  <c r="N83"/>
  <c r="N81"/>
  <c r="N79"/>
  <c r="N77"/>
  <c r="N75"/>
  <c r="N73"/>
  <c r="Q83"/>
  <c r="Q81"/>
  <c r="Q79"/>
  <c r="Q77"/>
  <c r="Q75"/>
  <c r="Q73"/>
  <c r="Q71"/>
  <c r="Q69"/>
  <c r="B69"/>
  <c r="AG61"/>
  <c r="K60"/>
  <c r="K59"/>
  <c r="K58"/>
  <c r="K57"/>
  <c r="K56"/>
  <c r="K55"/>
  <c r="K54"/>
  <c r="K53"/>
  <c r="K52"/>
  <c r="K51"/>
  <c r="X71"/>
  <c r="X69"/>
  <c r="L68"/>
  <c r="L62"/>
  <c r="L61"/>
  <c r="L60"/>
  <c r="L83"/>
  <c r="L81"/>
  <c r="L79"/>
  <c r="L77"/>
  <c r="L75"/>
  <c r="L73"/>
  <c r="O83"/>
  <c r="O81"/>
  <c r="O79"/>
  <c r="O77"/>
  <c r="O75"/>
  <c r="O73"/>
  <c r="O71"/>
  <c r="O69"/>
  <c r="AE68"/>
  <c r="AE61"/>
  <c r="V82"/>
  <c r="V78"/>
  <c r="V74"/>
  <c r="Y82"/>
  <c r="Y78"/>
  <c r="Y74"/>
  <c r="Y70"/>
  <c r="I68"/>
  <c r="AE59"/>
  <c r="AE57"/>
  <c r="AE55"/>
  <c r="AE53"/>
  <c r="AE51"/>
  <c r="AF70"/>
  <c r="AF62"/>
  <c r="AF60"/>
  <c r="J83"/>
  <c r="J81"/>
  <c r="J79"/>
  <c r="J77"/>
  <c r="J75"/>
  <c r="J73"/>
  <c r="M83"/>
  <c r="M81"/>
  <c r="M79"/>
  <c r="M77"/>
  <c r="M75"/>
  <c r="D83"/>
  <c r="D81"/>
  <c r="D79"/>
  <c r="D77"/>
  <c r="D75"/>
  <c r="D73"/>
  <c r="G83"/>
  <c r="G81"/>
  <c r="G79"/>
  <c r="G77"/>
  <c r="G75"/>
  <c r="G71"/>
  <c r="W68"/>
  <c r="F82"/>
  <c r="F74"/>
  <c r="I78"/>
  <c r="F81"/>
  <c r="I77"/>
  <c r="P70"/>
  <c r="W58"/>
  <c r="W56"/>
  <c r="W54"/>
  <c r="W52"/>
  <c r="W50"/>
  <c r="X68"/>
  <c r="X61"/>
  <c r="X59"/>
  <c r="B82"/>
  <c r="B80"/>
  <c r="B78"/>
  <c r="B76"/>
  <c r="B74"/>
  <c r="B72"/>
  <c r="E82"/>
  <c r="E80"/>
  <c r="E78"/>
  <c r="E76"/>
  <c r="E74"/>
  <c r="E72"/>
  <c r="E70"/>
  <c r="H70"/>
  <c r="U62"/>
  <c r="U60"/>
  <c r="U59"/>
  <c r="U58"/>
  <c r="U57"/>
  <c r="U56"/>
  <c r="U55"/>
  <c r="U54"/>
  <c r="U53"/>
  <c r="U52"/>
  <c r="U51"/>
  <c r="U50"/>
  <c r="N70"/>
  <c r="V68"/>
  <c r="V62"/>
  <c r="V61"/>
  <c r="V60"/>
  <c r="V59"/>
  <c r="M70"/>
  <c r="AC62"/>
  <c r="Y59"/>
  <c r="Y57"/>
  <c r="Y55"/>
  <c r="Y53"/>
  <c r="Y51"/>
  <c r="V70"/>
  <c r="Z62"/>
  <c r="Z60"/>
  <c r="F59"/>
  <c r="F58"/>
  <c r="F57"/>
  <c r="F56"/>
  <c r="F55"/>
  <c r="F54"/>
  <c r="F53"/>
  <c r="F52"/>
  <c r="F51"/>
  <c r="F50"/>
  <c r="F49"/>
  <c r="F48"/>
  <c r="F47"/>
  <c r="U49"/>
  <c r="H58"/>
  <c r="H56"/>
  <c r="H54"/>
  <c r="H52"/>
  <c r="H50"/>
  <c r="H48"/>
  <c r="Y49"/>
  <c r="M47"/>
  <c r="AF40"/>
  <c r="AF39"/>
  <c r="AF38"/>
  <c r="AF37"/>
  <c r="AF36"/>
  <c r="AF35"/>
  <c r="AF34"/>
  <c r="AF33"/>
  <c r="AF32"/>
  <c r="AF31"/>
  <c r="AF30"/>
  <c r="AF29"/>
  <c r="AF28"/>
  <c r="AF27"/>
  <c r="AF26"/>
  <c r="AF20"/>
  <c r="AF19"/>
  <c r="AF18"/>
  <c r="AF17"/>
  <c r="AF16"/>
  <c r="AF15"/>
  <c r="AF14"/>
  <c r="AF13"/>
  <c r="AF12"/>
  <c r="AF11"/>
  <c r="AF10"/>
  <c r="E50"/>
  <c r="E48"/>
  <c r="K41"/>
  <c r="K40"/>
  <c r="K39"/>
  <c r="K38"/>
  <c r="K37"/>
  <c r="K36"/>
  <c r="K35"/>
  <c r="K34"/>
  <c r="K33"/>
  <c r="K32"/>
  <c r="K31"/>
  <c r="K30"/>
  <c r="K29"/>
  <c r="K28"/>
  <c r="K27"/>
  <c r="K26"/>
  <c r="K20"/>
  <c r="K19"/>
  <c r="K18"/>
  <c r="K17"/>
  <c r="K16"/>
  <c r="N69"/>
  <c r="F83"/>
  <c r="F75"/>
  <c r="I79"/>
  <c r="I73"/>
  <c r="I69"/>
  <c r="Y61"/>
  <c r="G59"/>
  <c r="G57"/>
  <c r="G55"/>
  <c r="G53"/>
  <c r="G51"/>
  <c r="P69"/>
  <c r="H62"/>
  <c r="H60"/>
  <c r="R82"/>
  <c r="R80"/>
  <c r="R78"/>
  <c r="R76"/>
  <c r="R74"/>
  <c r="R72"/>
  <c r="U82"/>
  <c r="U80"/>
  <c r="U78"/>
  <c r="U76"/>
  <c r="U74"/>
  <c r="U72"/>
  <c r="U70"/>
  <c r="J71"/>
  <c r="E68"/>
  <c r="E61"/>
  <c r="AC59"/>
  <c r="AC58"/>
  <c r="AC57"/>
  <c r="AC56"/>
  <c r="AC55"/>
  <c r="AC54"/>
  <c r="AC53"/>
  <c r="AC52"/>
  <c r="AC51"/>
  <c r="AC50"/>
  <c r="AD70"/>
  <c r="AD68"/>
  <c r="AD62"/>
  <c r="AD61"/>
  <c r="AD60"/>
  <c r="AD59"/>
  <c r="M71"/>
  <c r="AC68"/>
  <c r="I60"/>
  <c r="I58"/>
  <c r="I56"/>
  <c r="I54"/>
  <c r="I52"/>
  <c r="T71"/>
  <c r="J68"/>
  <c r="J61"/>
  <c r="N59"/>
  <c r="N58"/>
  <c r="N57"/>
  <c r="N56"/>
  <c r="N55"/>
  <c r="N54"/>
  <c r="N53"/>
  <c r="N52"/>
  <c r="N51"/>
  <c r="N50"/>
  <c r="N49"/>
  <c r="N48"/>
  <c r="N47"/>
  <c r="G50"/>
  <c r="X58"/>
  <c r="X56"/>
  <c r="X54"/>
  <c r="X52"/>
  <c r="X50"/>
  <c r="X48"/>
  <c r="X41"/>
  <c r="AC47"/>
  <c r="G73"/>
  <c r="G69"/>
  <c r="W61"/>
  <c r="F78"/>
  <c r="I82"/>
  <c r="G68"/>
  <c r="F73"/>
  <c r="I72"/>
  <c r="Y60"/>
  <c r="W57"/>
  <c r="W55"/>
  <c r="W53"/>
  <c r="W51"/>
  <c r="R70"/>
  <c r="X62"/>
  <c r="X60"/>
  <c r="B83"/>
  <c r="B81"/>
  <c r="B79"/>
  <c r="B77"/>
  <c r="B75"/>
  <c r="B73"/>
  <c r="E83"/>
  <c r="E81"/>
  <c r="E79"/>
  <c r="E77"/>
  <c r="E75"/>
  <c r="E73"/>
  <c r="E71"/>
  <c r="E69"/>
  <c r="U68"/>
  <c r="U61"/>
  <c r="E60"/>
  <c r="E59"/>
  <c r="E58"/>
  <c r="E57"/>
  <c r="E56"/>
  <c r="E55"/>
  <c r="E54"/>
  <c r="E53"/>
  <c r="E52"/>
  <c r="E51"/>
  <c r="L71"/>
  <c r="L69"/>
  <c r="F68"/>
  <c r="F62"/>
  <c r="F61"/>
  <c r="F60"/>
  <c r="M72"/>
  <c r="X70"/>
  <c r="AC60"/>
  <c r="Y58"/>
  <c r="Y56"/>
  <c r="Y54"/>
  <c r="Y52"/>
  <c r="Y50"/>
  <c r="Z68"/>
  <c r="Z61"/>
  <c r="Z59"/>
  <c r="V58"/>
  <c r="V57"/>
  <c r="V56"/>
  <c r="V55"/>
  <c r="V54"/>
  <c r="V53"/>
  <c r="V52"/>
  <c r="V51"/>
  <c r="V50"/>
  <c r="V49"/>
  <c r="V48"/>
  <c r="V47"/>
  <c r="V41"/>
  <c r="H59"/>
  <c r="H57"/>
  <c r="H55"/>
  <c r="H53"/>
  <c r="H51"/>
  <c r="H49"/>
  <c r="H47"/>
  <c r="O48"/>
  <c r="P41"/>
  <c r="P40"/>
  <c r="P39"/>
  <c r="P38"/>
  <c r="P37"/>
  <c r="P36"/>
  <c r="P35"/>
  <c r="P34"/>
  <c r="P33"/>
  <c r="P32"/>
  <c r="P31"/>
  <c r="P30"/>
  <c r="P29"/>
  <c r="P28"/>
  <c r="P27"/>
  <c r="P26"/>
  <c r="P20"/>
  <c r="P19"/>
  <c r="P18"/>
  <c r="P17"/>
  <c r="P16"/>
  <c r="P15"/>
  <c r="P14"/>
  <c r="P13"/>
  <c r="P12"/>
  <c r="P11"/>
  <c r="P10"/>
  <c r="G49"/>
  <c r="G47"/>
  <c r="AA40"/>
  <c r="AA39"/>
  <c r="AA38"/>
  <c r="AA37"/>
  <c r="AA36"/>
  <c r="AA35"/>
  <c r="AA34"/>
  <c r="AA33"/>
  <c r="AA32"/>
  <c r="AA31"/>
  <c r="AA30"/>
  <c r="AA29"/>
  <c r="AA28"/>
  <c r="AA27"/>
  <c r="AA26"/>
  <c r="AA20"/>
  <c r="AA19"/>
  <c r="AA18"/>
  <c r="AA17"/>
  <c r="AA16"/>
  <c r="AA15"/>
  <c r="G62"/>
  <c r="F79"/>
  <c r="I83"/>
  <c r="I75"/>
  <c r="I71"/>
  <c r="Y68"/>
  <c r="G60"/>
  <c r="G58"/>
  <c r="G56"/>
  <c r="G54"/>
  <c r="G52"/>
  <c r="P71"/>
  <c r="H68"/>
  <c r="H61"/>
  <c r="R83"/>
  <c r="R81"/>
  <c r="R79"/>
  <c r="R77"/>
  <c r="R75"/>
  <c r="R73"/>
  <c r="U83"/>
  <c r="U81"/>
  <c r="U79"/>
  <c r="U77"/>
  <c r="U75"/>
  <c r="U73"/>
  <c r="U71"/>
  <c r="U69"/>
  <c r="J69"/>
  <c r="E62"/>
  <c r="M60"/>
  <c r="M59"/>
  <c r="M58"/>
  <c r="M57"/>
  <c r="M56"/>
  <c r="M55"/>
  <c r="M54"/>
  <c r="M53"/>
  <c r="M52"/>
  <c r="M51"/>
  <c r="AB71"/>
  <c r="AB69"/>
  <c r="N68"/>
  <c r="N62"/>
  <c r="N61"/>
  <c r="N60"/>
  <c r="M73"/>
  <c r="M69"/>
  <c r="AC61"/>
  <c r="I59"/>
  <c r="I57"/>
  <c r="I55"/>
  <c r="I53"/>
  <c r="I51"/>
  <c r="T69"/>
  <c r="J62"/>
  <c r="J60"/>
  <c r="AD58"/>
  <c r="AD57"/>
  <c r="AD56"/>
  <c r="AD55"/>
  <c r="AD54"/>
  <c r="AD53"/>
  <c r="AD52"/>
  <c r="AD51"/>
  <c r="AD50"/>
  <c r="AD49"/>
  <c r="AD48"/>
  <c r="AD47"/>
  <c r="AD41"/>
  <c r="E49"/>
  <c r="X57"/>
  <c r="X55"/>
  <c r="X53"/>
  <c r="X51"/>
  <c r="X49"/>
  <c r="X47"/>
  <c r="AE48"/>
  <c r="AE41"/>
  <c r="X40"/>
  <c r="X39"/>
  <c r="X38"/>
  <c r="X37"/>
  <c r="X36"/>
  <c r="X35"/>
  <c r="X34"/>
  <c r="X33"/>
  <c r="X32"/>
  <c r="X31"/>
  <c r="X30"/>
  <c r="X29"/>
  <c r="X28"/>
  <c r="X27"/>
  <c r="X26"/>
  <c r="X20"/>
  <c r="X19"/>
  <c r="X18"/>
  <c r="X17"/>
  <c r="X16"/>
  <c r="X15"/>
  <c r="X14"/>
  <c r="X13"/>
  <c r="X12"/>
  <c r="X11"/>
  <c r="X10"/>
  <c r="W49"/>
  <c r="W47"/>
  <c r="C41"/>
  <c r="C40"/>
  <c r="C39"/>
  <c r="C38"/>
  <c r="C37"/>
  <c r="C36"/>
  <c r="C35"/>
  <c r="C34"/>
  <c r="C33"/>
  <c r="C32"/>
  <c r="C31"/>
  <c r="C30"/>
  <c r="C29"/>
  <c r="C28"/>
  <c r="C27"/>
  <c r="C26"/>
  <c r="C20"/>
  <c r="C19"/>
  <c r="C18"/>
  <c r="H40"/>
  <c r="H38"/>
  <c r="H36"/>
  <c r="H34"/>
  <c r="H32"/>
  <c r="H30"/>
  <c r="H28"/>
  <c r="H26"/>
  <c r="H19"/>
  <c r="H17"/>
  <c r="H15"/>
  <c r="H13"/>
  <c r="H11"/>
  <c r="U48"/>
  <c r="S40"/>
  <c r="S38"/>
  <c r="S36"/>
  <c r="S34"/>
  <c r="S32"/>
  <c r="S30"/>
  <c r="S28"/>
  <c r="S26"/>
  <c r="S19"/>
  <c r="S17"/>
  <c r="S16"/>
  <c r="S15"/>
  <c r="S14"/>
  <c r="S13"/>
  <c r="S12"/>
  <c r="S11"/>
  <c r="S10"/>
  <c r="S9"/>
  <c r="AB58"/>
  <c r="AB56"/>
  <c r="AB54"/>
  <c r="AB52"/>
  <c r="AB50"/>
  <c r="AB48"/>
  <c r="AA14"/>
  <c r="AA12"/>
  <c r="AA10"/>
  <c r="L59"/>
  <c r="L55"/>
  <c r="L51"/>
  <c r="L47"/>
  <c r="S48"/>
  <c r="S41"/>
  <c r="R40"/>
  <c r="R39"/>
  <c r="R38"/>
  <c r="R37"/>
  <c r="R36"/>
  <c r="R35"/>
  <c r="R34"/>
  <c r="R33"/>
  <c r="R32"/>
  <c r="AC72"/>
  <c r="Z71"/>
  <c r="M61"/>
  <c r="AG58"/>
  <c r="AG56"/>
  <c r="AG54"/>
  <c r="AG52"/>
  <c r="AG50"/>
  <c r="D69"/>
  <c r="B62"/>
  <c r="B60"/>
  <c r="Z58"/>
  <c r="Z57"/>
  <c r="Z56"/>
  <c r="Z55"/>
  <c r="Z54"/>
  <c r="Z53"/>
  <c r="Z52"/>
  <c r="Z51"/>
  <c r="Z50"/>
  <c r="Z49"/>
  <c r="Z48"/>
  <c r="Z47"/>
  <c r="Z41"/>
  <c r="P59"/>
  <c r="P57"/>
  <c r="P55"/>
  <c r="P53"/>
  <c r="P51"/>
  <c r="P49"/>
  <c r="P47"/>
  <c r="W48"/>
  <c r="W41"/>
  <c r="T40"/>
  <c r="T39"/>
  <c r="T38"/>
  <c r="T37"/>
  <c r="T36"/>
  <c r="T35"/>
  <c r="T34"/>
  <c r="T33"/>
  <c r="T32"/>
  <c r="T31"/>
  <c r="T30"/>
  <c r="T29"/>
  <c r="T28"/>
  <c r="T27"/>
  <c r="T26"/>
  <c r="T20"/>
  <c r="T19"/>
  <c r="T18"/>
  <c r="T17"/>
  <c r="T16"/>
  <c r="T15"/>
  <c r="T14"/>
  <c r="T13"/>
  <c r="T12"/>
  <c r="T11"/>
  <c r="T10"/>
  <c r="O49"/>
  <c r="O47"/>
  <c r="AE40"/>
  <c r="AE39"/>
  <c r="AE38"/>
  <c r="AE37"/>
  <c r="AE36"/>
  <c r="AE35"/>
  <c r="AE34"/>
  <c r="AE33"/>
  <c r="AE32"/>
  <c r="AE31"/>
  <c r="AE30"/>
  <c r="AE29"/>
  <c r="AE28"/>
  <c r="AE27"/>
  <c r="AE26"/>
  <c r="AE20"/>
  <c r="AE19"/>
  <c r="AE18"/>
  <c r="AE17"/>
  <c r="AE16"/>
  <c r="AE15"/>
  <c r="AE14"/>
  <c r="AE13"/>
  <c r="AE12"/>
  <c r="AE11"/>
  <c r="AE10"/>
  <c r="AE9"/>
  <c r="T59"/>
  <c r="T57"/>
  <c r="T55"/>
  <c r="T53"/>
  <c r="T51"/>
  <c r="T49"/>
  <c r="T47"/>
  <c r="AA48"/>
  <c r="AA41"/>
  <c r="V40"/>
  <c r="V39"/>
  <c r="V38"/>
  <c r="V37"/>
  <c r="V36"/>
  <c r="V35"/>
  <c r="V34"/>
  <c r="V33"/>
  <c r="V32"/>
  <c r="V31"/>
  <c r="V30"/>
  <c r="V29"/>
  <c r="V28"/>
  <c r="V27"/>
  <c r="V26"/>
  <c r="V20"/>
  <c r="V19"/>
  <c r="V18"/>
  <c r="V17"/>
  <c r="V16"/>
  <c r="V15"/>
  <c r="V14"/>
  <c r="V13"/>
  <c r="V12"/>
  <c r="V11"/>
  <c r="V10"/>
  <c r="S49"/>
  <c r="S47"/>
  <c r="AG40"/>
  <c r="AG39"/>
  <c r="AG38"/>
  <c r="B31"/>
  <c r="B29"/>
  <c r="B27"/>
  <c r="B20"/>
  <c r="B18"/>
  <c r="B16"/>
  <c r="B14"/>
  <c r="B12"/>
  <c r="I50"/>
  <c r="M41"/>
  <c r="M39"/>
  <c r="AC37"/>
  <c r="AC36"/>
  <c r="AC35"/>
  <c r="AC34"/>
  <c r="AC33"/>
  <c r="AC32"/>
  <c r="AC31"/>
  <c r="AC30"/>
  <c r="AC29"/>
  <c r="AC28"/>
  <c r="AC27"/>
  <c r="AC26"/>
  <c r="AC20"/>
  <c r="AC19"/>
  <c r="AC18"/>
  <c r="AC17"/>
  <c r="AC16"/>
  <c r="AC15"/>
  <c r="AC14"/>
  <c r="AC13"/>
  <c r="AC12"/>
  <c r="AC11"/>
  <c r="AC10"/>
  <c r="AC9"/>
  <c r="Q8"/>
  <c r="N8"/>
  <c r="M7"/>
  <c r="E6"/>
  <c r="AD9"/>
  <c r="M9"/>
  <c r="K7"/>
  <c r="C5"/>
  <c r="B7"/>
  <c r="L6"/>
  <c r="Z30"/>
  <c r="Z28"/>
  <c r="Z26"/>
  <c r="Z19"/>
  <c r="Z17"/>
  <c r="Z15"/>
  <c r="Z13"/>
  <c r="Z11"/>
  <c r="AA49"/>
  <c r="E41"/>
  <c r="E39"/>
  <c r="Y37"/>
  <c r="Y36"/>
  <c r="Y35"/>
  <c r="Y34"/>
  <c r="Y33"/>
  <c r="Y32"/>
  <c r="Y31"/>
  <c r="Y30"/>
  <c r="Y29"/>
  <c r="Y28"/>
  <c r="Y27"/>
  <c r="Y26"/>
  <c r="Y20"/>
  <c r="Y19"/>
  <c r="Y18"/>
  <c r="Y17"/>
  <c r="Y16"/>
  <c r="Y15"/>
  <c r="Y14"/>
  <c r="Y13"/>
  <c r="Y12"/>
  <c r="Y11"/>
  <c r="Y10"/>
  <c r="Y9"/>
  <c r="I8"/>
  <c r="Y5"/>
  <c r="K14"/>
  <c r="K12"/>
  <c r="K10"/>
  <c r="L58"/>
  <c r="L54"/>
  <c r="L50"/>
  <c r="AB41"/>
  <c r="C48"/>
  <c r="J41"/>
  <c r="J40"/>
  <c r="J39"/>
  <c r="J38"/>
  <c r="J37"/>
  <c r="J36"/>
  <c r="J35"/>
  <c r="J34"/>
  <c r="J33"/>
  <c r="J32"/>
  <c r="AC71"/>
  <c r="Z69"/>
  <c r="Q60"/>
  <c r="Q58"/>
  <c r="Q56"/>
  <c r="Q54"/>
  <c r="Q52"/>
  <c r="Q50"/>
  <c r="R68"/>
  <c r="R61"/>
  <c r="R59"/>
  <c r="R58"/>
  <c r="R57"/>
  <c r="R56"/>
  <c r="R55"/>
  <c r="R54"/>
  <c r="R53"/>
  <c r="R52"/>
  <c r="R51"/>
  <c r="R50"/>
  <c r="R49"/>
  <c r="R48"/>
  <c r="R47"/>
  <c r="R41"/>
  <c r="AF58"/>
  <c r="AF56"/>
  <c r="AF54"/>
  <c r="AF52"/>
  <c r="AF50"/>
  <c r="AF48"/>
  <c r="AF41"/>
  <c r="G48"/>
  <c r="L41"/>
  <c r="L40"/>
  <c r="L39"/>
  <c r="L38"/>
  <c r="L37"/>
  <c r="L36"/>
  <c r="L35"/>
  <c r="L34"/>
  <c r="L33"/>
  <c r="L32"/>
  <c r="L31"/>
  <c r="L30"/>
  <c r="L29"/>
  <c r="L28"/>
  <c r="L27"/>
  <c r="L26"/>
  <c r="L20"/>
  <c r="L19"/>
  <c r="L18"/>
  <c r="L17"/>
  <c r="L16"/>
  <c r="L15"/>
  <c r="L14"/>
  <c r="L13"/>
  <c r="L12"/>
  <c r="L11"/>
  <c r="L10"/>
  <c r="AC48"/>
  <c r="AC41"/>
  <c r="W40"/>
  <c r="W39"/>
  <c r="W38"/>
  <c r="W37"/>
  <c r="W36"/>
  <c r="W35"/>
  <c r="W34"/>
  <c r="W33"/>
  <c r="W32"/>
  <c r="W31"/>
  <c r="W30"/>
  <c r="W29"/>
  <c r="W28"/>
  <c r="W27"/>
  <c r="W26"/>
  <c r="W20"/>
  <c r="W19"/>
  <c r="W18"/>
  <c r="W17"/>
  <c r="W16"/>
  <c r="W15"/>
  <c r="W14"/>
  <c r="W13"/>
  <c r="W12"/>
  <c r="W11"/>
  <c r="W10"/>
  <c r="W9"/>
  <c r="D59"/>
  <c r="D57"/>
  <c r="D55"/>
  <c r="D53"/>
  <c r="D51"/>
  <c r="D49"/>
  <c r="D47"/>
  <c r="K48"/>
  <c r="N41"/>
  <c r="N40"/>
  <c r="N39"/>
  <c r="N38"/>
  <c r="N37"/>
  <c r="N36"/>
  <c r="N35"/>
  <c r="N34"/>
  <c r="N33"/>
  <c r="N32"/>
  <c r="N31"/>
  <c r="N30"/>
  <c r="N29"/>
  <c r="N28"/>
  <c r="N27"/>
  <c r="N26"/>
  <c r="N20"/>
  <c r="N19"/>
  <c r="N18"/>
  <c r="N17"/>
  <c r="N16"/>
  <c r="N15"/>
  <c r="N14"/>
  <c r="N13"/>
  <c r="N12"/>
  <c r="N11"/>
  <c r="N10"/>
  <c r="C49"/>
  <c r="C47"/>
  <c r="Y40"/>
  <c r="Y39"/>
  <c r="Y38"/>
  <c r="R30"/>
  <c r="R28"/>
  <c r="R26"/>
  <c r="R19"/>
  <c r="R17"/>
  <c r="R15"/>
  <c r="R13"/>
  <c r="R11"/>
  <c r="K49"/>
  <c r="AC40"/>
  <c r="AC38"/>
  <c r="U37"/>
  <c r="U36"/>
  <c r="U35"/>
  <c r="U34"/>
  <c r="U33"/>
  <c r="U32"/>
  <c r="U31"/>
  <c r="U30"/>
  <c r="U29"/>
  <c r="U28"/>
  <c r="U27"/>
  <c r="U26"/>
  <c r="U20"/>
  <c r="U19"/>
  <c r="U18"/>
  <c r="U17"/>
  <c r="U16"/>
  <c r="U15"/>
  <c r="U14"/>
  <c r="U13"/>
  <c r="U12"/>
  <c r="U11"/>
  <c r="U10"/>
  <c r="Q9"/>
  <c r="AB9"/>
  <c r="E8"/>
  <c r="E7"/>
  <c r="AC5"/>
  <c r="AB8"/>
  <c r="W8"/>
  <c r="S6"/>
  <c r="X8"/>
  <c r="J6"/>
  <c r="T5"/>
  <c r="J30"/>
  <c r="J28"/>
  <c r="J26"/>
  <c r="J19"/>
  <c r="J17"/>
  <c r="J15"/>
  <c r="J13"/>
  <c r="J11"/>
  <c r="Y48"/>
  <c r="U40"/>
  <c r="U38"/>
  <c r="Q37"/>
  <c r="Q36"/>
  <c r="Q35"/>
  <c r="Q34"/>
  <c r="Q33"/>
  <c r="H41"/>
  <c r="H39"/>
  <c r="H37"/>
  <c r="H35"/>
  <c r="H33"/>
  <c r="H31"/>
  <c r="H29"/>
  <c r="H27"/>
  <c r="H20"/>
  <c r="H18"/>
  <c r="H16"/>
  <c r="H14"/>
  <c r="H12"/>
  <c r="H10"/>
  <c r="U41"/>
  <c r="S39"/>
  <c r="S37"/>
  <c r="S35"/>
  <c r="S33"/>
  <c r="S31"/>
  <c r="S29"/>
  <c r="S27"/>
  <c r="S20"/>
  <c r="S18"/>
  <c r="C17"/>
  <c r="C16"/>
  <c r="C15"/>
  <c r="C14"/>
  <c r="C13"/>
  <c r="C12"/>
  <c r="C11"/>
  <c r="C10"/>
  <c r="C9"/>
  <c r="AB57"/>
  <c r="AB55"/>
  <c r="AB53"/>
  <c r="AB51"/>
  <c r="AB49"/>
  <c r="AB47"/>
  <c r="AA13"/>
  <c r="AA11"/>
  <c r="AA9"/>
  <c r="L57"/>
  <c r="L53"/>
  <c r="L49"/>
  <c r="C50"/>
  <c r="Q47"/>
  <c r="B41"/>
  <c r="B40"/>
  <c r="B39"/>
  <c r="B38"/>
  <c r="B37"/>
  <c r="B36"/>
  <c r="B35"/>
  <c r="B34"/>
  <c r="B33"/>
  <c r="B32"/>
  <c r="AC70"/>
  <c r="M68"/>
  <c r="AG59"/>
  <c r="AG57"/>
  <c r="AG55"/>
  <c r="AG53"/>
  <c r="AG51"/>
  <c r="D71"/>
  <c r="B68"/>
  <c r="B61"/>
  <c r="J59"/>
  <c r="J58"/>
  <c r="J57"/>
  <c r="J56"/>
  <c r="J55"/>
  <c r="J54"/>
  <c r="J53"/>
  <c r="J52"/>
  <c r="J51"/>
  <c r="J50"/>
  <c r="J49"/>
  <c r="J48"/>
  <c r="J47"/>
  <c r="AC49"/>
  <c r="P58"/>
  <c r="P56"/>
  <c r="P54"/>
  <c r="P52"/>
  <c r="P50"/>
  <c r="P48"/>
  <c r="K50"/>
  <c r="U47"/>
  <c r="D41"/>
  <c r="D40"/>
  <c r="D39"/>
  <c r="D38"/>
  <c r="D37"/>
  <c r="D36"/>
  <c r="D35"/>
  <c r="D34"/>
  <c r="D33"/>
  <c r="D32"/>
  <c r="D31"/>
  <c r="D30"/>
  <c r="D29"/>
  <c r="D28"/>
  <c r="D27"/>
  <c r="D26"/>
  <c r="D20"/>
  <c r="D19"/>
  <c r="D18"/>
  <c r="D17"/>
  <c r="D16"/>
  <c r="D15"/>
  <c r="D14"/>
  <c r="D13"/>
  <c r="D12"/>
  <c r="D11"/>
  <c r="M50"/>
  <c r="M48"/>
  <c r="O41"/>
  <c r="O40"/>
  <c r="O39"/>
  <c r="O38"/>
  <c r="O37"/>
  <c r="O36"/>
  <c r="O35"/>
  <c r="O34"/>
  <c r="O33"/>
  <c r="O32"/>
  <c r="O31"/>
  <c r="O30"/>
  <c r="O29"/>
  <c r="O28"/>
  <c r="O27"/>
  <c r="O26"/>
  <c r="O20"/>
  <c r="O19"/>
  <c r="O18"/>
  <c r="O17"/>
  <c r="O16"/>
  <c r="O15"/>
  <c r="O14"/>
  <c r="O13"/>
  <c r="O12"/>
  <c r="O11"/>
  <c r="O10"/>
  <c r="O9"/>
  <c r="T58"/>
  <c r="T56"/>
  <c r="T54"/>
  <c r="T52"/>
  <c r="T50"/>
  <c r="T48"/>
  <c r="T41"/>
  <c r="Y47"/>
  <c r="F41"/>
  <c r="F40"/>
  <c r="F39"/>
  <c r="F38"/>
  <c r="F37"/>
  <c r="F36"/>
  <c r="F35"/>
  <c r="F34"/>
  <c r="F33"/>
  <c r="F32"/>
  <c r="F31"/>
  <c r="F30"/>
  <c r="F29"/>
  <c r="F28"/>
  <c r="F27"/>
  <c r="F26"/>
  <c r="F20"/>
  <c r="F19"/>
  <c r="F18"/>
  <c r="F17"/>
  <c r="F16"/>
  <c r="F15"/>
  <c r="F14"/>
  <c r="F13"/>
  <c r="F12"/>
  <c r="F11"/>
  <c r="F10"/>
  <c r="Q48"/>
  <c r="Q41"/>
  <c r="Q40"/>
  <c r="Q39"/>
  <c r="Q38"/>
  <c r="B30"/>
  <c r="B28"/>
  <c r="B26"/>
  <c r="B19"/>
  <c r="B17"/>
  <c r="B15"/>
  <c r="B13"/>
  <c r="B11"/>
  <c r="I48"/>
  <c r="M40"/>
  <c r="M38"/>
  <c r="M37"/>
  <c r="M36"/>
  <c r="M35"/>
  <c r="M34"/>
  <c r="M33"/>
  <c r="M32"/>
  <c r="M31"/>
  <c r="M30"/>
  <c r="M29"/>
  <c r="M28"/>
  <c r="M27"/>
  <c r="M26"/>
  <c r="M20"/>
  <c r="M19"/>
  <c r="M18"/>
  <c r="M17"/>
  <c r="M16"/>
  <c r="M15"/>
  <c r="M14"/>
  <c r="M13"/>
  <c r="M12"/>
  <c r="M11"/>
  <c r="M10"/>
  <c r="AG8"/>
  <c r="L9"/>
  <c r="AC7"/>
  <c r="AC6"/>
  <c r="U5"/>
  <c r="AB7"/>
  <c r="H9"/>
  <c r="C6"/>
  <c r="B8"/>
  <c r="R5"/>
  <c r="Z31"/>
  <c r="Z29"/>
  <c r="Z27"/>
  <c r="Z20"/>
  <c r="Z18"/>
  <c r="Z16"/>
  <c r="Z14"/>
  <c r="Z12"/>
  <c r="Z10"/>
  <c r="AA47"/>
  <c r="E40"/>
  <c r="I38"/>
  <c r="I37"/>
  <c r="I36"/>
  <c r="I35"/>
  <c r="I34"/>
  <c r="I33"/>
  <c r="I32"/>
  <c r="I31"/>
  <c r="I30"/>
  <c r="I29"/>
  <c r="I28"/>
  <c r="I27"/>
  <c r="I26"/>
  <c r="I20"/>
  <c r="I19"/>
  <c r="I18"/>
  <c r="I17"/>
  <c r="I16"/>
  <c r="I15"/>
  <c r="I14"/>
  <c r="I13"/>
  <c r="I12"/>
  <c r="I11"/>
  <c r="I10"/>
  <c r="M8"/>
  <c r="I7"/>
  <c r="K15"/>
  <c r="K13"/>
  <c r="K11"/>
  <c r="K9"/>
  <c r="L56"/>
  <c r="L52"/>
  <c r="L48"/>
  <c r="AG48"/>
  <c r="AG41"/>
  <c r="Z40"/>
  <c r="Z39"/>
  <c r="Z38"/>
  <c r="Z37"/>
  <c r="Z36"/>
  <c r="Z35"/>
  <c r="Z34"/>
  <c r="Z33"/>
  <c r="Z32"/>
  <c r="AC73"/>
  <c r="AC69"/>
  <c r="M62"/>
  <c r="Q59"/>
  <c r="Q57"/>
  <c r="Q55"/>
  <c r="Q53"/>
  <c r="Q51"/>
  <c r="F70"/>
  <c r="R62"/>
  <c r="R60"/>
  <c r="B59"/>
  <c r="B58"/>
  <c r="B57"/>
  <c r="B56"/>
  <c r="B55"/>
  <c r="B54"/>
  <c r="B53"/>
  <c r="B52"/>
  <c r="B51"/>
  <c r="B50"/>
  <c r="B49"/>
  <c r="B48"/>
  <c r="B47"/>
  <c r="M49"/>
  <c r="AF57"/>
  <c r="AF55"/>
  <c r="AF53"/>
  <c r="AF51"/>
  <c r="AF49"/>
  <c r="AF47"/>
  <c r="I49"/>
  <c r="E47"/>
  <c r="AB40"/>
  <c r="AB39"/>
  <c r="AB38"/>
  <c r="AB37"/>
  <c r="AB36"/>
  <c r="AB35"/>
  <c r="AB34"/>
  <c r="AB33"/>
  <c r="AB32"/>
  <c r="AB31"/>
  <c r="AB30"/>
  <c r="AB29"/>
  <c r="AB28"/>
  <c r="AB27"/>
  <c r="AB26"/>
  <c r="AB20"/>
  <c r="AB19"/>
  <c r="AB18"/>
  <c r="AB17"/>
  <c r="AB16"/>
  <c r="AB15"/>
  <c r="AB14"/>
  <c r="AB13"/>
  <c r="AB12"/>
  <c r="AB11"/>
  <c r="AB10"/>
  <c r="AE49"/>
  <c r="AE47"/>
  <c r="G41"/>
  <c r="G40"/>
  <c r="G39"/>
  <c r="G38"/>
  <c r="G37"/>
  <c r="G36"/>
  <c r="G35"/>
  <c r="G34"/>
  <c r="G33"/>
  <c r="G32"/>
  <c r="G31"/>
  <c r="G30"/>
  <c r="G29"/>
  <c r="G28"/>
  <c r="G27"/>
  <c r="G26"/>
  <c r="G20"/>
  <c r="G19"/>
  <c r="G18"/>
  <c r="G17"/>
  <c r="G16"/>
  <c r="G15"/>
  <c r="G14"/>
  <c r="G13"/>
  <c r="G12"/>
  <c r="G11"/>
  <c r="G10"/>
  <c r="G9"/>
  <c r="D58"/>
  <c r="D56"/>
  <c r="D54"/>
  <c r="D52"/>
  <c r="D50"/>
  <c r="D48"/>
  <c r="Q49"/>
  <c r="I47"/>
  <c r="AD40"/>
  <c r="AD39"/>
  <c r="AD38"/>
  <c r="AD37"/>
  <c r="AD36"/>
  <c r="AD35"/>
  <c r="AD34"/>
  <c r="AD33"/>
  <c r="AD32"/>
  <c r="AD31"/>
  <c r="AD30"/>
  <c r="AD29"/>
  <c r="AD28"/>
  <c r="AD27"/>
  <c r="AD26"/>
  <c r="AD20"/>
  <c r="AD19"/>
  <c r="AD18"/>
  <c r="AD17"/>
  <c r="AD16"/>
  <c r="AD15"/>
  <c r="AD14"/>
  <c r="AD13"/>
  <c r="AD12"/>
  <c r="AD11"/>
  <c r="AD10"/>
  <c r="AG49"/>
  <c r="AG47"/>
  <c r="I41"/>
  <c r="I40"/>
  <c r="I39"/>
  <c r="R31"/>
  <c r="R29"/>
  <c r="R27"/>
  <c r="R20"/>
  <c r="R18"/>
  <c r="R16"/>
  <c r="R14"/>
  <c r="R12"/>
  <c r="R10"/>
  <c r="K47"/>
  <c r="AC39"/>
  <c r="E38"/>
  <c r="E37"/>
  <c r="E36"/>
  <c r="E35"/>
  <c r="E34"/>
  <c r="E33"/>
  <c r="E32"/>
  <c r="E31"/>
  <c r="E30"/>
  <c r="E29"/>
  <c r="E28"/>
  <c r="E27"/>
  <c r="E26"/>
  <c r="E20"/>
  <c r="E19"/>
  <c r="E18"/>
  <c r="E17"/>
  <c r="E16"/>
  <c r="E15"/>
  <c r="E14"/>
  <c r="E13"/>
  <c r="E12"/>
  <c r="E11"/>
  <c r="E10"/>
  <c r="Y8"/>
  <c r="AD8"/>
  <c r="U7"/>
  <c r="U6"/>
  <c r="M5"/>
  <c r="P6"/>
  <c r="C8"/>
  <c r="S5"/>
  <c r="R7"/>
  <c r="B5"/>
  <c r="J31"/>
  <c r="J29"/>
  <c r="J27"/>
  <c r="J20"/>
  <c r="J18"/>
  <c r="J16"/>
  <c r="J14"/>
  <c r="J12"/>
  <c r="J10"/>
  <c r="Y41"/>
  <c r="U39"/>
  <c r="AG37"/>
  <c r="AG36"/>
  <c r="AG35"/>
  <c r="AG34"/>
  <c r="AG33"/>
  <c r="AG32"/>
  <c r="AG31"/>
  <c r="AG30"/>
  <c r="AG29"/>
  <c r="AG28"/>
  <c r="AG27"/>
  <c r="AG26"/>
  <c r="AG20"/>
  <c r="AG19"/>
  <c r="AG18"/>
  <c r="AG17"/>
  <c r="AG16"/>
  <c r="AG15"/>
  <c r="AG14"/>
  <c r="AG13"/>
  <c r="AG12"/>
  <c r="AG11"/>
  <c r="AG10"/>
  <c r="AG9"/>
  <c r="U8"/>
  <c r="V8"/>
  <c r="Q7"/>
  <c r="Q6"/>
  <c r="Q5"/>
  <c r="F9"/>
  <c r="X7"/>
  <c r="P5"/>
  <c r="S8"/>
  <c r="R8"/>
  <c r="O7"/>
  <c r="O6"/>
  <c r="O5"/>
  <c r="B9"/>
  <c r="V7"/>
  <c r="V6"/>
  <c r="V5"/>
  <c r="AF6"/>
  <c r="L5"/>
  <c r="L8"/>
  <c r="Q31"/>
  <c r="Q29"/>
  <c r="Q27"/>
  <c r="Q20"/>
  <c r="Q18"/>
  <c r="Q16"/>
  <c r="Q14"/>
  <c r="Q12"/>
  <c r="Q10"/>
  <c r="T9"/>
  <c r="AG6"/>
  <c r="D10"/>
  <c r="AB6"/>
  <c r="P9"/>
  <c r="AE6"/>
  <c r="AF9"/>
  <c r="F7"/>
  <c r="F5"/>
  <c r="E5"/>
  <c r="X5"/>
  <c r="X9"/>
  <c r="S7"/>
  <c r="AA5"/>
  <c r="J8"/>
  <c r="R6"/>
  <c r="H7"/>
  <c r="AC8"/>
  <c r="Y7"/>
  <c r="I6"/>
  <c r="T8"/>
  <c r="U9"/>
  <c r="G8"/>
  <c r="G6"/>
  <c r="P8"/>
  <c r="N6"/>
  <c r="M6"/>
  <c r="V9"/>
  <c r="W6"/>
  <c r="P7"/>
  <c r="K6"/>
  <c r="D8"/>
  <c r="Q32"/>
  <c r="Q30"/>
  <c r="Q28"/>
  <c r="Q26"/>
  <c r="Q19"/>
  <c r="Q17"/>
  <c r="Q15"/>
  <c r="Q13"/>
  <c r="Q11"/>
  <c r="I9"/>
  <c r="AG7"/>
  <c r="AG5"/>
  <c r="H8"/>
  <c r="E9"/>
  <c r="AE7"/>
  <c r="AE5"/>
  <c r="F8"/>
  <c r="F6"/>
  <c r="H6"/>
  <c r="T7"/>
  <c r="AE8"/>
  <c r="K8"/>
  <c r="AA6"/>
  <c r="Z9"/>
  <c r="J7"/>
  <c r="Z5"/>
  <c r="AF5"/>
  <c r="D9"/>
  <c r="Y6"/>
  <c r="I5"/>
  <c r="L7"/>
  <c r="B10"/>
  <c r="G7"/>
  <c r="G5"/>
  <c r="N7"/>
  <c r="N5"/>
  <c r="Z8"/>
  <c r="B6"/>
  <c r="AF7"/>
  <c r="AA8"/>
  <c r="W7"/>
  <c r="W5"/>
  <c r="AD7"/>
  <c r="AD5"/>
  <c r="AB5"/>
  <c r="D7"/>
  <c r="AA7"/>
  <c r="J9"/>
  <c r="J5"/>
  <c r="T6"/>
  <c r="H5"/>
  <c r="Z7"/>
  <c r="K5"/>
  <c r="D6"/>
  <c r="AF8"/>
  <c r="R9"/>
  <c r="AD6"/>
  <c r="N9"/>
  <c r="O8"/>
  <c r="Z6"/>
  <c r="D5"/>
  <c r="C7"/>
  <c r="X6"/>
  <c r="I234" i="6" l="1"/>
  <c r="J233"/>
  <c r="K233" s="1"/>
  <c r="L233" s="1"/>
  <c r="M233" s="1"/>
  <c r="N233" s="1"/>
  <c r="O233" s="1"/>
  <c r="I236" l="1"/>
  <c r="J234"/>
  <c r="K234" s="1"/>
  <c r="L234" s="1"/>
  <c r="M234" s="1"/>
  <c r="N234" s="1"/>
  <c r="O234" s="1"/>
  <c r="I237" l="1"/>
  <c r="J236"/>
  <c r="K236" s="1"/>
  <c r="L236" s="1"/>
  <c r="M236" s="1"/>
  <c r="N236" s="1"/>
  <c r="O236" s="1"/>
  <c r="I238" l="1"/>
  <c r="J237"/>
  <c r="K237" s="1"/>
  <c r="L237" s="1"/>
  <c r="M237" s="1"/>
  <c r="N237" s="1"/>
  <c r="O237" s="1"/>
  <c r="I239" l="1"/>
  <c r="J238"/>
  <c r="K238" s="1"/>
  <c r="L238" s="1"/>
  <c r="M238" s="1"/>
  <c r="N238" s="1"/>
  <c r="O238" s="1"/>
  <c r="J239" l="1"/>
  <c r="K239" s="1"/>
  <c r="L239" s="1"/>
  <c r="M239" s="1"/>
  <c r="N239" s="1"/>
  <c r="O239" s="1"/>
  <c r="I241"/>
  <c r="I242" l="1"/>
  <c r="J241"/>
  <c r="K241" s="1"/>
  <c r="L241" s="1"/>
  <c r="M241" s="1"/>
  <c r="N241" s="1"/>
  <c r="O241" s="1"/>
  <c r="I243" l="1"/>
  <c r="J242"/>
  <c r="K242" s="1"/>
  <c r="L242" s="1"/>
  <c r="M242" s="1"/>
  <c r="N242" s="1"/>
  <c r="O242" s="1"/>
  <c r="I244" l="1"/>
  <c r="J244" s="1"/>
  <c r="K244" s="1"/>
  <c r="L244" s="1"/>
  <c r="M244" s="1"/>
  <c r="N244" s="1"/>
  <c r="O244" s="1"/>
  <c r="J243"/>
  <c r="K243" s="1"/>
  <c r="L243" s="1"/>
  <c r="M243" s="1"/>
  <c r="N243" s="1"/>
  <c r="O243" s="1"/>
</calcChain>
</file>

<file path=xl/comments1.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3.xml><?xml version="1.0" encoding="utf-8"?>
<comments xmlns="http://schemas.openxmlformats.org/spreadsheetml/2006/main">
  <authors>
    <author>mloverde</author>
    <author>Alicia A. Diaz</author>
    <author>JLM</author>
    <author>jmarks</author>
    <author>adiaz</author>
    <author>Jeannie Reed</author>
  </authors>
  <commentList>
    <comment ref="A2" authorId="0">
      <text>
        <r>
          <rPr>
            <b/>
            <sz val="11"/>
            <color indexed="81"/>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D19" authorId="1">
      <text>
        <r>
          <rPr>
            <b/>
            <sz val="8"/>
            <color indexed="81"/>
            <rFont val="Tahoma"/>
            <family val="2"/>
          </rPr>
          <t>No Freshmen, Upper Level school - will not have data in every section.</t>
        </r>
      </text>
    </comment>
    <comment ref="A78" authorId="2">
      <text>
        <r>
          <rPr>
            <b/>
            <sz val="10"/>
            <color indexed="81"/>
            <rFont val="Tahoma"/>
            <family val="2"/>
          </rPr>
          <t>JLM:</t>
        </r>
        <r>
          <rPr>
            <sz val="10"/>
            <color indexed="81"/>
            <rFont val="Tahoma"/>
            <family val="2"/>
          </rPr>
          <t xml:space="preserve">
Use 75% rule for e-learning.</t>
        </r>
      </text>
    </comment>
    <comment ref="B155" authorId="3">
      <text>
        <r>
          <rPr>
            <b/>
            <sz val="10"/>
            <color indexed="81"/>
            <rFont val="Tahoma"/>
            <family val="2"/>
          </rPr>
          <t>jmarks:</t>
        </r>
        <r>
          <rPr>
            <sz val="10"/>
            <color indexed="81"/>
            <rFont val="Tahoma"/>
            <family val="2"/>
          </rPr>
          <t xml:space="preserve">
Now includes former Appalachian Technical College and North Metro Technical College.</t>
        </r>
      </text>
    </comment>
    <comment ref="B158" authorId="3">
      <text>
        <r>
          <rPr>
            <b/>
            <sz val="10"/>
            <color indexed="81"/>
            <rFont val="Tahoma"/>
            <family val="2"/>
          </rPr>
          <t>jmarks:</t>
        </r>
        <r>
          <rPr>
            <sz val="10"/>
            <color indexed="81"/>
            <rFont val="Tahoma"/>
            <family val="2"/>
          </rPr>
          <t xml:space="preserve">
Is the merger of Coosa Valley Technical College and Northwestern Technical College.</t>
        </r>
      </text>
    </comment>
    <comment ref="B159" authorId="1">
      <text>
        <r>
          <rPr>
            <sz val="10"/>
            <color indexed="81"/>
            <rFont val="Tahoma"/>
            <family val="2"/>
          </rPr>
          <t>Met criteria for Tech nical institute or College 1 in 2008-09 and 2009-10.</t>
        </r>
      </text>
    </comment>
    <comment ref="B172" authorId="1">
      <text>
        <r>
          <rPr>
            <sz val="10"/>
            <color indexed="81"/>
            <rFont val="Tahoma"/>
            <family val="2"/>
          </rPr>
          <t>Reclassified: Now includes former Swainsboro Technical College and meets the criteria for a Technical Institute or College 1.</t>
        </r>
      </text>
    </comment>
    <comment ref="B177" authorId="3">
      <text>
        <r>
          <rPr>
            <b/>
            <sz val="10"/>
            <color indexed="81"/>
            <rFont val="Tahoma"/>
            <family val="2"/>
          </rPr>
          <t>jmarks:</t>
        </r>
        <r>
          <rPr>
            <sz val="10"/>
            <color indexed="81"/>
            <rFont val="Tahoma"/>
            <family val="2"/>
          </rPr>
          <t xml:space="preserve">
Is the merger of West Georgia Technical College and West Central Technical College.</t>
        </r>
      </text>
    </comment>
    <comment ref="A303" authorId="3">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379" authorId="3">
      <text>
        <r>
          <rPr>
            <sz val="10"/>
            <color indexed="81"/>
            <rFont val="Tahoma"/>
            <family val="2"/>
          </rPr>
          <t>Met the criteria for Two-Year 1 institution in 2009-10.</t>
        </r>
      </text>
    </comment>
    <comment ref="X667" authorId="4">
      <text>
        <r>
          <rPr>
            <b/>
            <sz val="8"/>
            <color indexed="81"/>
            <rFont val="Tahoma"/>
            <family val="2"/>
          </rPr>
          <t>West Liberty
The increase in graduate activity, in general, is due to West Liberty offering a graduate program of their own, as opposed to grad programs they have offered collaboratively with other of our institutions.  As far as why their grad student activity seems to be all off-campus, they made use of a new off-campus facility for students in this program.
Jeannie:  I think this is a left over comment from before 2009-10.</t>
        </r>
      </text>
    </comment>
    <comment ref="Y667" authorId="4">
      <text>
        <r>
          <rPr>
            <b/>
            <sz val="8"/>
            <color indexed="81"/>
            <rFont val="Tahoma"/>
            <family val="2"/>
          </rPr>
          <t>West Liberty
The increase in graduate activity, in general, is due to West Liberty offering a graduate program of their own, as opposed to grad programs they have offered collaboratively with other of our institutions.  As far as why their grad student activity seems to be all off-campus, they made use of a new off-campus facility for students in this program.
Jeannie:  I think this is a left over comment from before 2009-10.</t>
        </r>
      </text>
    </comment>
    <comment ref="B670" authorId="1">
      <text>
        <r>
          <rPr>
            <sz val="10"/>
            <color indexed="81"/>
            <rFont val="Tahoma"/>
            <family val="2"/>
          </rPr>
          <t>Reclassified: Met criteria for Two-Year with Bachelor's in 2007-08, 2008-09 and 2009-10.</t>
        </r>
      </text>
    </comment>
    <comment ref="B675" authorId="5">
      <text>
        <r>
          <rPr>
            <sz val="10"/>
            <color indexed="81"/>
            <rFont val="Tahoma"/>
            <family val="2"/>
          </rPr>
          <t>Formerly West Virginia State Community &amp; Technical College.</t>
        </r>
      </text>
    </comment>
    <comment ref="H677" authorId="4">
      <text>
        <r>
          <rPr>
            <b/>
            <sz val="8"/>
            <color indexed="81"/>
            <rFont val="Tahoma"/>
            <family val="2"/>
          </rPr>
          <t>New River
New River was once a community college component (CCC) of Bluefield State College.  Back in those days, the classes offered at this CCC were considered off-campus to Bluefield.  When New River became its own community and technical college, the coding was not switched over which is why last year, it appeared as if they had barely any on-campus activity.  This year’s “increase” is due to correcting that coding.
Jeannie:  I think this comment is a left over from before 2009-10.</t>
        </r>
      </text>
    </comment>
    <comment ref="I677" authorId="4">
      <text>
        <r>
          <rPr>
            <b/>
            <sz val="8"/>
            <color indexed="81"/>
            <rFont val="Tahoma"/>
            <family val="2"/>
          </rPr>
          <t>New River
New River was once a community college component (CCC) of Bluefield State College.  Back in those days, the classes offered at this CCC were considered off-campus to Bluefield.  When New River became its own community and technical college, the coding was not switched over which is why last year, it appeared as if they had barely any on-campus activity.  This year’s “increase” is due to correcting that coding.
Jeannie:  I think this comment is a left over from before 2009-10.</t>
        </r>
      </text>
    </comment>
  </commentList>
</comments>
</file>

<file path=xl/connections.xml><?xml version="1.0" encoding="utf-8"?>
<connections xmlns="http://schemas.openxmlformats.org/spreadsheetml/2006/main">
  <connection id="1" name="Type10ug1" type="6" refreshedVersion="3" deleted="1" background="1" saveData="1">
    <textPr codePage="437" sourceFile="\\THECB-AUVFS41\UserDoc$\MeadDD\My Documents\My SAS Files\SREB\QWK03864\Page5\Type10ug1.txt">
      <textFields>
        <textField/>
      </textFields>
    </textPr>
  </connection>
  <connection id="2" name="Type10ug2" type="6" refreshedVersion="3" deleted="1" background="1" saveData="1">
    <textPr codePage="437" sourceFile="\\THECB-AUVFS41\UserDoc$\MeadDD\My Documents\My SAS Files\SREB\QWK03864\Page5\Type10ug2.txt">
      <textFields>
        <textField/>
      </textFields>
    </textPr>
  </connection>
  <connection id="3" name="Type10ug3" type="6" refreshedVersion="3" deleted="1" background="1" saveData="1">
    <textPr codePage="437" sourceFile="\\THECB-AUVFS41\UserDoc$\MeadDD\My Documents\My SAS Files\SREB\QWK03864\Page5\Type10ug3.txt">
      <textFields>
        <textField/>
      </textFields>
    </textPr>
  </connection>
  <connection id="4" name="Type10ug4" type="6" refreshedVersion="3" deleted="1" background="1" saveData="1">
    <textPr codePage="437" sourceFile="\\THECB-AUVFS41\UserDoc$\MeadDD\My Documents\My SAS Files\SREB\QWK03864\Page5\Type10ug4.txt">
      <textFields>
        <textField/>
      </textFields>
    </textPr>
  </connection>
  <connection id="5" name="Type10ug5" type="6" refreshedVersion="3" background="1" saveData="1">
    <textPr codePage="437" sourceFile="\\THECB-AUVFS41\UserDoc$\MeadDD\My Documents\My SAS Files\SREB\QWK03864\Page5\Type10ug5.txt">
      <textFields>
        <textField/>
      </textFields>
    </textPr>
  </connection>
</connections>
</file>

<file path=xl/sharedStrings.xml><?xml version="1.0" encoding="utf-8"?>
<sst xmlns="http://schemas.openxmlformats.org/spreadsheetml/2006/main" count="4133" uniqueCount="1035">
  <si>
    <t>A change of more than a 10% change up or down will trigger a red warning.</t>
  </si>
  <si>
    <t>Undergraduate Credit Hours</t>
  </si>
  <si>
    <t>Graduate Credit Hours</t>
  </si>
  <si>
    <t>Calculated</t>
  </si>
  <si>
    <t>e-Learning (more than 50% of course content is electronically delivered)</t>
  </si>
  <si>
    <t>State</t>
  </si>
  <si>
    <t>Institution</t>
  </si>
  <si>
    <t>IPEDS ID</t>
  </si>
  <si>
    <t>Category</t>
  </si>
  <si>
    <t>Web</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</si>
  <si>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</si>
  <si>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</si>
  <si>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</si>
  <si>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</si>
  <si>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</si>
  <si>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</si>
  <si>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</si>
  <si>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</si>
  <si>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</si>
  <si>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</si>
  <si>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</si>
  <si>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</si>
  <si>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</si>
  <si>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</si>
  <si>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</si>
  <si>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</si>
  <si>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</si>
  <si>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</si>
  <si>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</si>
  <si>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</si>
  <si>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</si>
  <si>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</si>
  <si>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</si>
  <si>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</si>
  <si>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</si>
  <si>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</si>
  <si>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</si>
  <si>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</si>
  <si>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</si>
  <si>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</si>
  <si>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</si>
  <si>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</si>
  <si>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</si>
  <si>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</si>
  <si>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</si>
  <si>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</si>
  <si>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</si>
  <si>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</si>
  <si>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</si>
  <si>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</si>
  <si>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</si>
  <si>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</si>
  <si>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</si>
  <si>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</si>
  <si>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</si>
  <si>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</si>
  <si>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</si>
  <si>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</si>
  <si>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</si>
  <si>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 xml:space="preserve"> </t>
  </si>
  <si>
    <t>Gadsden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</si>
  <si>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</si>
  <si>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</si>
  <si>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</si>
  <si>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</si>
  <si>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</si>
  <si>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</si>
  <si>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</si>
  <si>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</si>
  <si>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</si>
  <si>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</si>
  <si>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</si>
  <si>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</si>
  <si>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</si>
  <si>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</si>
  <si>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</si>
  <si>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</si>
  <si>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</si>
  <si>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</si>
  <si>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</si>
  <si>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</si>
  <si>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</si>
  <si>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</si>
  <si>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</si>
  <si>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</si>
  <si>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</si>
  <si>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</si>
  <si>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</si>
  <si>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</si>
  <si>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</si>
  <si>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Fort Smith</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</si>
  <si>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</si>
  <si>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</si>
  <si>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</si>
  <si>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</si>
  <si>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</si>
  <si>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</si>
  <si>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</si>
  <si>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</si>
  <si>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</si>
  <si>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</si>
  <si>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</si>
  <si>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</si>
  <si>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</si>
  <si>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</si>
  <si>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</si>
  <si>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</si>
  <si>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</si>
  <si>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</si>
  <si>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</si>
  <si>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</si>
  <si>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</si>
  <si>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</si>
  <si>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</si>
  <si>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DE</t>
  </si>
  <si>
    <t>FL</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</si>
  <si>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</si>
  <si>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</si>
  <si>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</si>
  <si>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</si>
  <si>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</si>
  <si>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</si>
  <si>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</si>
  <si>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</si>
  <si>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</si>
  <si>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</si>
  <si>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</si>
  <si>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Chipola College </t>
  </si>
  <si>
    <t xml:space="preserve">Miami Dade College </t>
  </si>
  <si>
    <t>Northwest Florida State College</t>
  </si>
  <si>
    <t xml:space="preserve">St. Petersburg College </t>
  </si>
  <si>
    <t xml:space="preserve">Brevard Community College </t>
  </si>
  <si>
    <t xml:space="preserve">Edison State College </t>
  </si>
  <si>
    <t xml:space="preserve">Hillsborough Community College </t>
  </si>
  <si>
    <t xml:space="preserve">Pasco-Hernando Community College </t>
  </si>
  <si>
    <t>State College of Florida, Manatee-Sarasota</t>
  </si>
  <si>
    <t xml:space="preserve">Tallahassee Community College </t>
  </si>
  <si>
    <t xml:space="preserve">Valencia Community College </t>
  </si>
  <si>
    <t xml:space="preserve">Gulf Coast Community College </t>
  </si>
  <si>
    <t xml:space="preserve">Lake City Community College </t>
  </si>
  <si>
    <t xml:space="preserve">Lake-Sumter Community College </t>
  </si>
  <si>
    <t xml:space="preserve">South Florida Community College </t>
  </si>
  <si>
    <t xml:space="preserve">St. Johns River Community College </t>
  </si>
  <si>
    <t xml:space="preserve">Florida Keys Community College </t>
  </si>
  <si>
    <t xml:space="preserve">North Florida Community College </t>
  </si>
  <si>
    <t>GA</t>
  </si>
  <si>
    <t>Albany Technical College</t>
  </si>
  <si>
    <t>Athens Technical College</t>
  </si>
  <si>
    <t>Atlanta Technical College</t>
  </si>
  <si>
    <t>Augusta Technical College</t>
  </si>
  <si>
    <t>Central Georgia Technical College</t>
  </si>
  <si>
    <t>Chattahoochee Technical College</t>
  </si>
  <si>
    <t>Columbus Technical College</t>
  </si>
  <si>
    <t>DeKalb Technical College</t>
  </si>
  <si>
    <t>East Central Technical College</t>
  </si>
  <si>
    <t>Georgia Northwestern Technical College</t>
  </si>
  <si>
    <t>Gwinnett Technical College</t>
  </si>
  <si>
    <t>Heart of Georgia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</si>
  <si>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</si>
  <si>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</si>
  <si>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</si>
  <si>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</si>
  <si>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</si>
  <si>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</si>
  <si>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</si>
  <si>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</si>
  <si>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</si>
  <si>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Southwest Georgia Technical College</t>
  </si>
  <si>
    <t>West Georgia Technical College</t>
  </si>
  <si>
    <t>Altamaha Technical College</t>
  </si>
  <si>
    <t>Flint River Technical College</t>
  </si>
  <si>
    <t>Sandersville Technical College</t>
  </si>
  <si>
    <t>KY</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</si>
  <si>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</si>
  <si>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</si>
  <si>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</si>
  <si>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</si>
  <si>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</si>
  <si>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</si>
  <si>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</si>
  <si>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</si>
  <si>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</si>
  <si>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</si>
  <si>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</si>
  <si>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</si>
  <si>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</si>
  <si>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</si>
  <si>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</si>
  <si>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</si>
  <si>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</si>
  <si>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</si>
  <si>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</si>
  <si>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</si>
  <si>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</si>
  <si>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 xml:space="preserve">Hopkinsville Community College </t>
  </si>
  <si>
    <t>Bowling Green Technical College</t>
  </si>
  <si>
    <t>Gateway Community and Technical College</t>
  </si>
  <si>
    <t>LA</t>
  </si>
  <si>
    <t>MD</t>
  </si>
  <si>
    <t>University of Maryland College Park</t>
  </si>
  <si>
    <t>University of Maryland, Baltimore County</t>
  </si>
  <si>
    <t>Morgan State University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</si>
  <si>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</si>
  <si>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</si>
  <si>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</si>
  <si>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</si>
  <si>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</si>
  <si>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</si>
  <si>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</si>
  <si>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</si>
  <si>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</si>
  <si>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Community College of Baltimore County (all campuses)</t>
  </si>
  <si>
    <t>Montgomery College (all campuses)</t>
  </si>
  <si>
    <t xml:space="preserve">Prince George's Community College </t>
  </si>
  <si>
    <t>Allegany College of Maryland</t>
  </si>
  <si>
    <t>Baltimore City Community College</t>
  </si>
  <si>
    <t>College of Southern Maryland</t>
  </si>
  <si>
    <t xml:space="preserve">Frederick Community College </t>
  </si>
  <si>
    <t xml:space="preserve">Hagerstown Community College </t>
  </si>
  <si>
    <t xml:space="preserve">Harford Community College </t>
  </si>
  <si>
    <t xml:space="preserve">Howard Community College </t>
  </si>
  <si>
    <t>Carroll Community College</t>
  </si>
  <si>
    <t xml:space="preserve">Cecil Community College </t>
  </si>
  <si>
    <t xml:space="preserve">Chesapeake College </t>
  </si>
  <si>
    <t xml:space="preserve">Garrett College </t>
  </si>
  <si>
    <t xml:space="preserve">Wor-Wic Community College </t>
  </si>
  <si>
    <t>University of Maryland University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</si>
  <si>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</si>
  <si>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</si>
  <si>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</si>
  <si>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</si>
  <si>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</si>
  <si>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</si>
  <si>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</si>
  <si>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</si>
  <si>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</si>
  <si>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</si>
  <si>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</si>
  <si>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</si>
  <si>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</si>
  <si>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</si>
  <si>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</si>
  <si>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</si>
  <si>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</si>
  <si>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</si>
  <si>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</si>
  <si>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</si>
  <si>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</si>
  <si>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</si>
  <si>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</si>
  <si>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</si>
  <si>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</si>
  <si>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 xml:space="preserve">North Carolina State University </t>
  </si>
  <si>
    <t>.</t>
  </si>
  <si>
    <t xml:space="preserve">University of North Carolina at Chapel Hill </t>
  </si>
  <si>
    <t>University of North Carolina at Charlotte</t>
  </si>
  <si>
    <t>University of North Carolina at Greensboro</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</si>
  <si>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</si>
  <si>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</si>
  <si>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</si>
  <si>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</si>
  <si>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</si>
  <si>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</si>
  <si>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</si>
  <si>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</si>
  <si>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</si>
  <si>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</si>
  <si>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</si>
  <si>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Asheville-Buncombe Technical Community College</t>
  </si>
  <si>
    <t>Cape Fear Community College</t>
  </si>
  <si>
    <t>Catawba Valley Community College</t>
  </si>
  <si>
    <t>Central Carolina Commuity College</t>
  </si>
  <si>
    <t xml:space="preserve">Central Piedmont Community College </t>
  </si>
  <si>
    <t>Durham Technical Community College</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</si>
  <si>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</si>
  <si>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</si>
  <si>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</si>
  <si>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</si>
  <si>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</si>
  <si>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</si>
  <si>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</si>
  <si>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Blue Ridge Community College</t>
  </si>
  <si>
    <t>Caldwell Community College &amp; Technical Institute</t>
  </si>
  <si>
    <t>Cleveland Community College</t>
  </si>
  <si>
    <t xml:space="preserve">Coastal Carolina Community College </t>
  </si>
  <si>
    <t>College of the Albemarle</t>
  </si>
  <si>
    <t xml:space="preserve">Craven Community College </t>
  </si>
  <si>
    <t xml:space="preserve">Davidson County Community College </t>
  </si>
  <si>
    <t>Edgecombe Community College</t>
  </si>
  <si>
    <t xml:space="preserve">Gaston College </t>
  </si>
  <si>
    <t>Haywood Community College</t>
  </si>
  <si>
    <t xml:space="preserve">Isothermal Community College </t>
  </si>
  <si>
    <t>Johnston Community College</t>
  </si>
  <si>
    <t xml:space="preserve">Lenoir Community College </t>
  </si>
  <si>
    <t>Mayland Community College</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</si>
  <si>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</si>
  <si>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</si>
  <si>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</si>
  <si>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</si>
  <si>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</si>
  <si>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</si>
  <si>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</si>
  <si>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</si>
  <si>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</si>
  <si>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</si>
  <si>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</si>
  <si>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</si>
  <si>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</si>
  <si>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</si>
  <si>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</si>
  <si>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</si>
  <si>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</si>
  <si>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</si>
  <si>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 xml:space="preserve">Beaufort County Community College </t>
  </si>
  <si>
    <t>Bladen Community College</t>
  </si>
  <si>
    <t>Brunswick Community College</t>
  </si>
  <si>
    <t>Carteret Community College</t>
  </si>
  <si>
    <t xml:space="preserve">Halifax Community College </t>
  </si>
  <si>
    <t>James Sprunt Community College</t>
  </si>
  <si>
    <t xml:space="preserve">Martin Community College </t>
  </si>
  <si>
    <t>McDowell Technical Community College</t>
  </si>
  <si>
    <t>Montgomery Community College</t>
  </si>
  <si>
    <t>Pamlico Community College</t>
  </si>
  <si>
    <t>Roanoke-Chowan Community College</t>
  </si>
  <si>
    <t>Sampson Community College</t>
  </si>
  <si>
    <t xml:space="preserve">Tri-County Community College </t>
  </si>
  <si>
    <t>OK</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</si>
  <si>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</si>
  <si>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</si>
  <si>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</si>
  <si>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</si>
  <si>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</si>
  <si>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</si>
  <si>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</si>
  <si>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</si>
  <si>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</si>
  <si>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</si>
  <si>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</si>
  <si>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</si>
  <si>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</si>
  <si>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</si>
  <si>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City Community College </t>
  </si>
  <si>
    <t xml:space="preserve">Tulsa Community College </t>
  </si>
  <si>
    <t xml:space="preserve">Northern Oklahoma College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</si>
  <si>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</si>
  <si>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</si>
  <si>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</si>
  <si>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</si>
  <si>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</si>
  <si>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</si>
  <si>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</si>
  <si>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</si>
  <si>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</si>
  <si>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</si>
  <si>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SC</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</si>
  <si>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</si>
  <si>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</si>
  <si>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</si>
  <si>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</si>
  <si>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</si>
  <si>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</si>
  <si>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</si>
  <si>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</si>
  <si>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</si>
  <si>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</si>
  <si>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</si>
  <si>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</si>
  <si>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</si>
  <si>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</si>
  <si>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</si>
  <si>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</si>
  <si>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</si>
  <si>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</si>
  <si>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</si>
  <si>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</si>
  <si>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</si>
  <si>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Spartanburg Community College </t>
  </si>
  <si>
    <t xml:space="preserve">Tri-County Technical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</si>
  <si>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</si>
  <si>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</si>
  <si>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</si>
  <si>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</si>
  <si>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</si>
  <si>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</si>
  <si>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</si>
  <si>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</si>
  <si>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</si>
  <si>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TN</t>
  </si>
  <si>
    <t>University of Memphis</t>
  </si>
  <si>
    <t>University of Tennessee, Knoxville</t>
  </si>
  <si>
    <t xml:space="preserve">East Tennessee State University </t>
  </si>
  <si>
    <t xml:space="preserve">Middle Tennessee State University </t>
  </si>
  <si>
    <t xml:space="preserve">Tennessee State University </t>
  </si>
  <si>
    <t xml:space="preserve">Tennessee Technological University </t>
  </si>
  <si>
    <t>University of Tennessee at Chattanooga</t>
  </si>
  <si>
    <t xml:space="preserve">Austin Peay State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</si>
  <si>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</si>
  <si>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</si>
  <si>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</si>
  <si>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</si>
  <si>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</si>
  <si>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</si>
  <si>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</si>
  <si>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</si>
  <si>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</si>
  <si>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</si>
  <si>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</si>
  <si>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</si>
  <si>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</si>
  <si>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</si>
  <si>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</si>
  <si>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</si>
  <si>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</si>
  <si>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</si>
  <si>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</si>
  <si>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</si>
  <si>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</si>
  <si>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</si>
  <si>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</si>
  <si>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</si>
  <si>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</si>
  <si>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</si>
  <si>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</si>
  <si>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</si>
  <si>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</si>
  <si>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</si>
  <si>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</si>
  <si>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</si>
  <si>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</si>
  <si>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</si>
  <si>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</si>
  <si>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</si>
  <si>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</si>
  <si>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</si>
  <si>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</si>
  <si>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</si>
  <si>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</si>
  <si>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</si>
  <si>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TX</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</si>
  <si>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</si>
  <si>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</si>
  <si>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</si>
  <si>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</si>
  <si>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</si>
  <si>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</si>
  <si>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</si>
  <si>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</si>
  <si>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</si>
  <si>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</si>
  <si>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</si>
  <si>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</si>
  <si>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</si>
  <si>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</si>
  <si>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</si>
  <si>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</si>
  <si>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</si>
  <si>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</si>
  <si>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University - Commerce</t>
  </si>
  <si>
    <t xml:space="preserve">Texas A &amp; M University-Corpus Christi </t>
  </si>
  <si>
    <t>Texas A &amp; M University-Kingsville</t>
  </si>
  <si>
    <t xml:space="preserve">Texas Southern University </t>
  </si>
  <si>
    <t xml:space="preserve">Texas State University - San Marcos </t>
  </si>
  <si>
    <t xml:space="preserve">University of Houston-Clear Lake </t>
  </si>
  <si>
    <t>University of Texas at Tyler</t>
  </si>
  <si>
    <t>University of Texas-Pan American</t>
  </si>
  <si>
    <t>West Texas A &amp; M University</t>
  </si>
  <si>
    <t>Texas A &amp; M -Texarkana</t>
  </si>
  <si>
    <t>University of Houston-Victoria</t>
  </si>
  <si>
    <t>University of Texas at Brownsville</t>
  </si>
  <si>
    <t>University of Texas of the Permian Basin</t>
  </si>
  <si>
    <t>Sul Ross State University-Rio Grande College</t>
  </si>
  <si>
    <t>228501B</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</si>
  <si>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</si>
  <si>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</si>
  <si>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</si>
  <si>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</si>
  <si>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</si>
  <si>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</si>
  <si>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</si>
  <si>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</si>
  <si>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</si>
  <si>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</si>
  <si>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</si>
  <si>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</si>
  <si>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</si>
  <si>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</si>
  <si>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</si>
  <si>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</si>
  <si>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Lone Star College System District</t>
  </si>
  <si>
    <t xml:space="preserve">Navarro College </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</si>
  <si>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</si>
  <si>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</si>
  <si>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</si>
  <si>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</si>
  <si>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</si>
  <si>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</si>
  <si>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</si>
  <si>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</si>
  <si>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</si>
  <si>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</si>
  <si>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 xml:space="preserve">Tyler Junior College </t>
  </si>
  <si>
    <t xml:space="preserve">Alvin Community College </t>
  </si>
  <si>
    <t xml:space="preserve">Angelina College </t>
  </si>
  <si>
    <t>Cedar Valley College (DCCCD)</t>
  </si>
  <si>
    <t>Coastal Bend College</t>
  </si>
  <si>
    <t>College of the Mainland</t>
  </si>
  <si>
    <t>El Centro College  (DCCCD)</t>
  </si>
  <si>
    <t xml:space="preserve">Grayson County College </t>
  </si>
  <si>
    <t>Howard College (HCJCD)</t>
  </si>
  <si>
    <t xml:space="preserve">Kilgore College </t>
  </si>
  <si>
    <t>Lamar Institute of Technology</t>
  </si>
  <si>
    <t xml:space="preserve">Lee College </t>
  </si>
  <si>
    <t xml:space="preserve">McLennan Community College </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</si>
  <si>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</si>
  <si>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</si>
  <si>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</si>
  <si>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</si>
  <si>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</si>
  <si>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</si>
  <si>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</si>
  <si>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</si>
  <si>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</si>
  <si>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</si>
  <si>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</si>
  <si>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</si>
  <si>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</si>
  <si>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Cisco Junior College </t>
  </si>
  <si>
    <t xml:space="preserve">Clarendon College </t>
  </si>
  <si>
    <t xml:space="preserve">Frank Phillips College </t>
  </si>
  <si>
    <t xml:space="preserve">Galveston College </t>
  </si>
  <si>
    <t>Hill College</t>
  </si>
  <si>
    <t>Lamar State College-Orange</t>
  </si>
  <si>
    <t>Lamar State College-Port Arthur</t>
  </si>
  <si>
    <t>Northeast Lakeview College (ACCD)</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</si>
  <si>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</si>
  <si>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</si>
  <si>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</si>
  <si>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</si>
  <si>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</si>
  <si>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</si>
  <si>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</si>
  <si>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15</t>
  </si>
  <si>
    <t>VA</t>
  </si>
  <si>
    <t>WV</t>
  </si>
  <si>
    <t>West Virginia University</t>
  </si>
  <si>
    <t xml:space="preserve">Marshall University </t>
  </si>
  <si>
    <t>Fairmont State University</t>
  </si>
  <si>
    <t xml:space="preserve">Bluefield State College </t>
  </si>
  <si>
    <t xml:space="preserve">Concord University </t>
  </si>
  <si>
    <t xml:space="preserve">Glenville State College </t>
  </si>
  <si>
    <t xml:space="preserve">Shepherd University </t>
  </si>
  <si>
    <t>West Liberty University</t>
  </si>
  <si>
    <t xml:space="preserve">West Virginia State University </t>
  </si>
  <si>
    <t>West Virginia University Institute of Technology</t>
  </si>
  <si>
    <t>Potomac State College of West Virginia University</t>
  </si>
  <si>
    <t>West Virginia University at Parkersburg</t>
  </si>
  <si>
    <t>Blue Ridge Community &amp; Technical College</t>
  </si>
  <si>
    <t>Bridgemont Community &amp; Technical College</t>
  </si>
  <si>
    <t>Eastern West Virginia Community &amp; Technical College</t>
  </si>
  <si>
    <t>Kanawha Valley Community &amp; Technical College</t>
  </si>
  <si>
    <t>New River Community &amp; Technical College</t>
  </si>
  <si>
    <t>Pierpont Community &amp; Technical College</t>
  </si>
  <si>
    <t xml:space="preserve">Southern West Virginia Community &amp; Technical College </t>
  </si>
  <si>
    <t>West Virginia Northern Community College</t>
  </si>
  <si>
    <t>Type2</t>
  </si>
  <si>
    <t>Four-Year</t>
  </si>
  <si>
    <t>Two-Year</t>
  </si>
  <si>
    <t>Technical</t>
  </si>
  <si>
    <t>Data</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</si>
  <si>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</si>
  <si>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</si>
  <si>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</si>
  <si>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</si>
  <si>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</si>
  <si>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</si>
  <si>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</si>
  <si>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</si>
  <si>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</si>
  <si>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</si>
  <si>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</si>
  <si>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</si>
  <si>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</si>
  <si>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</si>
  <si>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</si>
  <si>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</si>
  <si>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</si>
  <si>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</si>
  <si>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</si>
  <si>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</si>
  <si>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</si>
  <si>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</si>
  <si>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</si>
  <si>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</si>
  <si>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</si>
  <si>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</si>
  <si>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</si>
  <si>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</si>
  <si>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</si>
  <si>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</si>
  <si>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</si>
  <si>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</si>
  <si>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</si>
  <si>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</si>
  <si>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</si>
  <si>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</si>
  <si>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</si>
  <si>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</si>
  <si>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</si>
  <si>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</si>
  <si>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</si>
  <si>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</si>
  <si>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</si>
  <si>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</si>
  <si>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</si>
  <si>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</si>
  <si>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</si>
  <si>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</si>
  <si>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</si>
  <si>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</si>
  <si>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</si>
  <si>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</si>
  <si>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</si>
  <si>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</si>
  <si>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</si>
  <si>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</si>
  <si>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</si>
  <si>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</si>
  <si>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</si>
  <si>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</si>
  <si>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</si>
  <si>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</si>
  <si>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</si>
  <si>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</si>
  <si>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</si>
  <si>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</si>
  <si>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</si>
  <si>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</si>
  <si>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</si>
  <si>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</si>
  <si>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</si>
  <si>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</si>
  <si>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NOT a Review Table</t>
  </si>
  <si>
    <t>Sum of OLD-Tot UG SCH Calc</t>
  </si>
  <si>
    <t>Sum of Old UG E-Learning</t>
  </si>
  <si>
    <t>Sum of Old-Tot G SCH Calc</t>
  </si>
  <si>
    <t>Sum of Old G E-Learning</t>
  </si>
  <si>
    <t>Sum of NEW-Tot UG SCH Calc</t>
  </si>
  <si>
    <t>Sum of New UG E-Learning</t>
  </si>
  <si>
    <t>Sum of New-Tot G SCH Calc</t>
  </si>
  <si>
    <t>Sum of New G E-Learning</t>
  </si>
  <si>
    <t>Table 87</t>
  </si>
  <si>
    <t>All</t>
  </si>
  <si>
    <t>with bachs.</t>
  </si>
  <si>
    <t>Alabama</t>
  </si>
  <si>
    <t>Arkansas</t>
  </si>
  <si>
    <t>Delaware</t>
  </si>
  <si>
    <t>Florida</t>
  </si>
  <si>
    <t>Georgia</t>
  </si>
  <si>
    <t>Kentucky</t>
  </si>
  <si>
    <t>Louisiana</t>
  </si>
  <si>
    <r>
      <t>Maryland</t>
    </r>
    <r>
      <rPr>
        <vertAlign val="superscript"/>
        <sz val="10"/>
        <rFont val="Arial"/>
        <family val="2"/>
      </rPr>
      <t>1</t>
    </r>
  </si>
  <si>
    <t>Mississippi</t>
  </si>
  <si>
    <t>North Carolina</t>
  </si>
  <si>
    <t>Oklahoma</t>
  </si>
  <si>
    <t>South Carolina</t>
  </si>
  <si>
    <t>Tennessee</t>
  </si>
  <si>
    <t>Texas</t>
  </si>
  <si>
    <t>Virginia</t>
  </si>
  <si>
    <t>West Virginia</t>
  </si>
  <si>
    <r>
      <t xml:space="preserve">1 </t>
    </r>
    <r>
      <rPr>
        <sz val="8"/>
        <rFont val="Arial"/>
        <family val="2"/>
      </rPr>
      <t>The "all four-year" figure includes University of Maryland University College.</t>
    </r>
  </si>
  <si>
    <t>Table 88</t>
  </si>
  <si>
    <r>
      <t>Florida</t>
    </r>
    <r>
      <rPr>
        <vertAlign val="superscript"/>
        <sz val="10"/>
        <rFont val="Arial"/>
        <family val="2"/>
      </rPr>
      <t>1</t>
    </r>
  </si>
  <si>
    <r>
      <t>Maryland</t>
    </r>
    <r>
      <rPr>
        <vertAlign val="superscript"/>
        <sz val="10"/>
        <rFont val="Arial"/>
        <family val="2"/>
      </rPr>
      <t>2</t>
    </r>
  </si>
  <si>
    <r>
      <t>Mississippi</t>
    </r>
    <r>
      <rPr>
        <vertAlign val="superscript"/>
        <sz val="10"/>
        <rFont val="Arial"/>
        <family val="2"/>
      </rPr>
      <t>1</t>
    </r>
  </si>
  <si>
    <r>
      <t>1</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</si>
  <si>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r>
      <t>2</t>
    </r>
    <r>
      <rPr>
        <sz val="8"/>
        <rFont val="Arial"/>
        <family val="2"/>
      </rPr>
      <t xml:space="preserve"> The "all four-year" figure includes University of Maryland University College.</t>
    </r>
  </si>
  <si>
    <t>Table 89</t>
  </si>
  <si>
    <t>Percent of Graduate Instructional Activity</t>
  </si>
  <si>
    <t xml:space="preserve"> in Traditional Classroom Instruction</t>
  </si>
  <si>
    <r>
      <t>1</t>
    </r>
    <r>
      <rPr>
        <sz val="8"/>
        <rFont val="Arial"/>
        <family val="2"/>
      </rPr>
      <t xml:space="preserve"> The "all four-year" figure includes University of Maryland University College.</t>
    </r>
  </si>
  <si>
    <t>Table 90</t>
  </si>
  <si>
    <t>Percent of Graduate Instructional Activity in e-Learning</t>
  </si>
  <si>
    <r>
      <t>1</t>
    </r>
    <r>
      <rPr>
        <sz val="8"/>
        <rFont val="Arial"/>
        <family val="2"/>
      </rPr>
      <t xml:space="preserve"> The university system in Florida uses an 80 percent rule to define e-learning so their figures here are likely lower than they would be if they used the 50 percent rule.</t>
    </r>
  </si>
  <si>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</si>
  <si>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</si>
  <si>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</si>
  <si>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</si>
  <si>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</si>
  <si>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</si>
  <si>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</si>
  <si>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</si>
  <si>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</si>
  <si>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1</t>
    </r>
  </si>
  <si>
    <t>Corre- spondence</t>
  </si>
  <si>
    <t>check figs</t>
  </si>
  <si>
    <r>
      <t>Florida</t>
    </r>
    <r>
      <rPr>
        <vertAlign val="superscript"/>
        <sz val="10"/>
        <rFont val="Arial"/>
        <family val="2"/>
      </rPr>
      <t>2</t>
    </r>
  </si>
  <si>
    <r>
      <t>Maryland</t>
    </r>
    <r>
      <rPr>
        <vertAlign val="superscript"/>
        <sz val="10"/>
        <rFont val="Arial"/>
        <family val="2"/>
      </rPr>
      <t>3</t>
    </r>
  </si>
  <si>
    <r>
      <t>1</t>
    </r>
    <r>
      <rPr>
        <sz val="8"/>
        <rFont val="Arial"/>
        <family val="2"/>
      </rPr>
      <t>Courses delivered via satellite, cable TV, broadcast TV/radio, closed-circuit TV, video tape, CD-ROMS, e-mail, etc.</t>
    </r>
  </si>
  <si>
    <r>
      <t>2</t>
    </r>
    <r>
      <rPr>
        <sz val="8"/>
        <rFont val="Arial"/>
        <family val="2"/>
      </rPr>
      <t>The university system in Florida uses an 80 percent rule to define e-learning so their figures here are likely lower than they would be if they used the 50 percent rule.</t>
    </r>
  </si>
  <si>
    <r>
      <t>3</t>
    </r>
    <r>
      <rPr>
        <sz val="8"/>
        <rFont val="Arial"/>
        <family val="2"/>
      </rPr>
      <t>This "all four-year" table includes the University of Maryland University College.</t>
    </r>
  </si>
  <si>
    <t>Maryland</t>
  </si>
  <si>
    <r>
      <t>2</t>
    </r>
    <r>
      <rPr>
        <sz val="8"/>
        <rFont val="Arial"/>
        <family val="2"/>
      </rPr>
      <t>The university system in Florida uses a 75 percent rule to define e-learning so their figures here are likely lower than they would be if they used the 50 percent rule.</t>
    </r>
  </si>
  <si>
    <t>pivot addresses</t>
  </si>
  <si>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</si>
  <si>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</si>
  <si>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r>
      <t>West Virginia</t>
    </r>
    <r>
      <rPr>
        <vertAlign val="superscript"/>
        <sz val="10"/>
        <rFont val="Arial"/>
        <family val="2"/>
      </rPr>
      <t>3</t>
    </r>
  </si>
  <si>
    <t>Total UG SCH</t>
  </si>
  <si>
    <t>4-year</t>
  </si>
  <si>
    <t>2-year</t>
  </si>
  <si>
    <t>Tech</t>
  </si>
  <si>
    <t>Total</t>
  </si>
  <si>
    <t>E-Learning UG SCH</t>
  </si>
  <si>
    <t>Total G SCH</t>
  </si>
  <si>
    <t>E-Learning G SCH</t>
  </si>
  <si>
    <t>Change</t>
  </si>
  <si>
    <t>4-Yr</t>
  </si>
  <si>
    <t>2-Yr</t>
  </si>
  <si>
    <t>IPEDS #</t>
  </si>
  <si>
    <t xml:space="preserve">Total Undergraduate SCH </t>
  </si>
  <si>
    <r>
      <t xml:space="preserve">On-Campus "Traditional" Instruction
 </t>
    </r>
    <r>
      <rPr>
        <sz val="10"/>
        <rFont val="Arial"/>
        <family val="2"/>
      </rPr>
      <t>(significant site attendance required--50% or less of course content is electronically delivered)</t>
    </r>
  </si>
  <si>
    <r>
      <t xml:space="preserve">Off-Campus
(in-state or out-of-state sites) "Traditional" Instruction 
</t>
    </r>
    <r>
      <rPr>
        <sz val="10"/>
        <rFont val="Arial"/>
        <family val="2"/>
      </rPr>
      <t>(significant site attendance required--50% or less of course content is electronically delivered)</t>
    </r>
  </si>
  <si>
    <r>
      <t xml:space="preserve">Site-to-Site, 2-Way, Audio/Video </t>
    </r>
    <r>
      <rPr>
        <sz val="10"/>
        <rFont val="Arial"/>
        <family val="2"/>
      </rPr>
      <t>(compressed video)</t>
    </r>
  </si>
  <si>
    <r>
      <t xml:space="preserve">Other </t>
    </r>
    <r>
      <rPr>
        <sz val="10"/>
        <rFont val="Arial"/>
        <family val="2"/>
      </rPr>
      <t xml:space="preserve">(Satellite, Cable, Broadcast TV/Radio, Closed-Circuit, Video Tapes, CD ROM)             </t>
    </r>
  </si>
  <si>
    <r>
      <t xml:space="preserve">Other
</t>
    </r>
    <r>
      <rPr>
        <sz val="10"/>
        <rFont val="Arial"/>
        <family val="2"/>
      </rPr>
      <t xml:space="preserve"> (Satellite, Cable, Broadcast TV/Radio, Closed-Circuit, Video Tapes, CD ROM)            </t>
    </r>
    <r>
      <rPr>
        <b/>
        <sz val="10"/>
        <rFont val="Arial"/>
        <family val="2"/>
      </rPr>
      <t xml:space="preserve"> </t>
    </r>
  </si>
  <si>
    <r>
      <t xml:space="preserve">Correspondence
</t>
    </r>
    <r>
      <rPr>
        <sz val="10"/>
        <rFont val="Arial"/>
        <family val="2"/>
      </rPr>
      <t xml:space="preserve">(no significant site attendance required-less than 50% of the course content is electronically delivered)     </t>
    </r>
  </si>
  <si>
    <r>
      <t xml:space="preserve">Total Graduate SCH </t>
    </r>
    <r>
      <rPr>
        <sz val="10"/>
        <color rgb="FF0000FF"/>
        <rFont val="Arial"/>
        <family val="2"/>
      </rPr>
      <t xml:space="preserve">
(a sum of columns --should match totals from Part 3)</t>
    </r>
  </si>
  <si>
    <r>
      <t xml:space="preserve">Griffin Technical College </t>
    </r>
    <r>
      <rPr>
        <b/>
        <sz val="10"/>
        <color rgb="FFFF0000"/>
        <rFont val="Arial"/>
        <family val="2"/>
      </rPr>
      <t xml:space="preserve"> </t>
    </r>
  </si>
  <si>
    <t>Southern Crescent Technical College</t>
  </si>
  <si>
    <r>
      <t>Valdosta Technical College</t>
    </r>
    <r>
      <rPr>
        <b/>
        <sz val="10"/>
        <color rgb="FFFF0000"/>
        <rFont val="Arial"/>
        <family val="2"/>
      </rPr>
      <t xml:space="preserve">  </t>
    </r>
  </si>
  <si>
    <t>Wiregrass Georgia Technical College</t>
  </si>
  <si>
    <t>Texas A &amp; M International University</t>
  </si>
  <si>
    <t>Texas A &amp; M University - Central Texas</t>
  </si>
  <si>
    <t>Texas A &amp; M University - San Antonio</t>
  </si>
  <si>
    <t>870501</t>
  </si>
  <si>
    <t>University of North Texas at Dallas</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</si>
  <si>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</si>
  <si>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</si>
  <si>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</si>
  <si>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</si>
  <si>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</si>
  <si>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</si>
  <si>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</si>
  <si>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Norfolk State University </t>
  </si>
  <si>
    <t>Radford University</t>
  </si>
  <si>
    <t xml:space="preserve">Virginia State University </t>
  </si>
  <si>
    <t>Christopher Newport University</t>
  </si>
  <si>
    <t xml:space="preserve">Longwood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</si>
  <si>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</si>
  <si>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</si>
  <si>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</si>
  <si>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</si>
  <si>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</si>
  <si>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</si>
  <si>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</si>
  <si>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</si>
  <si>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</si>
  <si>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</si>
  <si>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</si>
  <si>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</si>
  <si>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</si>
  <si>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Piedmont Virginia Community College </t>
  </si>
  <si>
    <t>Southside Virginia Community College</t>
  </si>
  <si>
    <t xml:space="preserve">Southwest Virginia Community College </t>
  </si>
  <si>
    <t xml:space="preserve">Virginia Western Community College </t>
  </si>
  <si>
    <t xml:space="preserve">D.S. Lancaster Community College </t>
  </si>
  <si>
    <t>Eastern Shore Community College</t>
  </si>
  <si>
    <t>Mountain Empire Community College</t>
  </si>
  <si>
    <t xml:space="preserve">Patrick Henry Community College </t>
  </si>
  <si>
    <t>Paul D. Camp Community College</t>
  </si>
  <si>
    <t>Rappahannock Community College</t>
  </si>
  <si>
    <t xml:space="preserve">Richard Bland College </t>
  </si>
  <si>
    <t xml:space="preserve">Virginia Highlands Community College </t>
  </si>
  <si>
    <t xml:space="preserve">Wytheville Community College </t>
  </si>
  <si>
    <t>Note</t>
  </si>
  <si>
    <t>Met the criteria for Four-Year 2 in 2010-11.</t>
  </si>
  <si>
    <t>Met the criteria for Four-Year 3 in 2010-11.</t>
  </si>
  <si>
    <t>Met criteria for Two-Year 1 in 2009-10 and 2010-11.</t>
  </si>
  <si>
    <t>Reclassified: met the criteria for Two-Year 2 in 2008-09, 2009-10 and 2010-11.</t>
  </si>
  <si>
    <t>Met the criteria for Two-Year 1 in 2010-11.</t>
  </si>
  <si>
    <t>Met criteria for Two-Year 2 in 2009-10 and 2010-11.</t>
  </si>
  <si>
    <t>Met the criteria for Two-Year 2 in 2010-11.</t>
  </si>
  <si>
    <t>Met the criteria for Technical Institute 1 in 2010-11.</t>
  </si>
  <si>
    <t>Met the criteria for Four-Year 4 in 2009-10 and 2010-11.</t>
  </si>
  <si>
    <t>Met the criteria for Four-Year 5 in 2010-11.</t>
  </si>
  <si>
    <t>Reclassifed: met the criteria for Two-Year 2 in 2008-09, 2009-10 and 2010-11.</t>
  </si>
  <si>
    <t>Met the criteria for Two-Year 1 in 2009-10 and 2010-11.</t>
  </si>
  <si>
    <t xml:space="preserve">Daytona State College </t>
  </si>
  <si>
    <t>Formerly Daytona Beacah Community College.</t>
  </si>
  <si>
    <t>Reclassified: met the criteria for Two-Year with Bachelor's in 2008-09, 2009-10 and 2010-11</t>
  </si>
  <si>
    <t xml:space="preserve">Broward College </t>
  </si>
  <si>
    <t>Formerly Broward Community College.</t>
  </si>
  <si>
    <t>College of Central Florida</t>
  </si>
  <si>
    <t xml:space="preserve">Reclassified: met the criteria for Two-Year 1 in 2008-09, 2009-10 and 2010-11. Formerly Central Florida Community College. </t>
  </si>
  <si>
    <t>Florida State College at Jacksonville</t>
  </si>
  <si>
    <t>Formerly Florida Community College at Jacksonville. Met the criteria for Two-Year with Bachelor's in 2009-10 and 2010-11.</t>
  </si>
  <si>
    <t xml:space="preserve">Indian River State College </t>
  </si>
  <si>
    <t>Formerly Indian River Community College. Met the criteria for Two-Year with Bachelor's in 2009-10 and 2010-11.</t>
  </si>
  <si>
    <t xml:space="preserve">Palm Beach State College </t>
  </si>
  <si>
    <t>Formerly Palm Beach Community College.</t>
  </si>
  <si>
    <t xml:space="preserve">Pensacola State College </t>
  </si>
  <si>
    <t xml:space="preserve">Polk State College </t>
  </si>
  <si>
    <t xml:space="preserve">Santa Fe College </t>
  </si>
  <si>
    <t>Seminole State College of Florida</t>
  </si>
  <si>
    <t>Formerly Pensacola Junior College.</t>
  </si>
  <si>
    <t>Formerly Polk Community College.</t>
  </si>
  <si>
    <t>Formerly Santa Fe Community College.</t>
  </si>
  <si>
    <t>Formerly Seminole Community College.</t>
  </si>
  <si>
    <t>Met the criteria for Two-Year 1 in  2010-11.</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</si>
  <si>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</si>
  <si>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</si>
  <si>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</si>
  <si>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</si>
  <si>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</si>
  <si>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</si>
  <si>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</si>
  <si>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</si>
  <si>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</si>
  <si>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</si>
  <si>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</si>
  <si>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</si>
  <si>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Met the criteria for Four-Year 4 in 2010-11.</t>
  </si>
  <si>
    <t>Fort Valley State University</t>
  </si>
  <si>
    <t>Georgia Southwestern State University</t>
  </si>
  <si>
    <t>North Georgia College and State University</t>
  </si>
  <si>
    <t>Savannah State University</t>
  </si>
  <si>
    <t>Clayton State University</t>
  </si>
  <si>
    <t>Met the criteria for Four-Year 5 in 2009-10 and 2010-11.</t>
  </si>
  <si>
    <t xml:space="preserve">Macon State College </t>
  </si>
  <si>
    <t xml:space="preserve">Dalton State College </t>
  </si>
  <si>
    <t xml:space="preserve">Gainesville State College </t>
  </si>
  <si>
    <t>Reclassified: met the criteria for Two-Year with Bachelors in 2008-09, 2009-10 and 2010-11.</t>
  </si>
  <si>
    <t xml:space="preserve">Georgia Perimeter College </t>
  </si>
  <si>
    <t xml:space="preserve">Abraham Baldwin Agricultural College </t>
  </si>
  <si>
    <t>Met the criteria for Two-Year with Bachelor's in 2009-10. Did not award any bachelor's for 2010-11 analysis, looses flag.</t>
  </si>
  <si>
    <t xml:space="preserve">Bainbridge College </t>
  </si>
  <si>
    <t xml:space="preserve">College of Coastal Georgia </t>
  </si>
  <si>
    <t xml:space="preserve">Darton College </t>
  </si>
  <si>
    <t>Georgia Highlands College</t>
  </si>
  <si>
    <t xml:space="preserve">Gordon College </t>
  </si>
  <si>
    <t>Met the criteria for Two-Year with Bachelor's in 2009-10.</t>
  </si>
  <si>
    <t xml:space="preserve">Middle Georgia College </t>
  </si>
  <si>
    <t>Atlanta Metropolitan College</t>
  </si>
  <si>
    <t>Met the criteria for Two-Year 2 in 2009-10 and 2010-11.</t>
  </si>
  <si>
    <t>East Georgia College</t>
  </si>
  <si>
    <t xml:space="preserve">South Georgia College </t>
  </si>
  <si>
    <t xml:space="preserve">Waycross College </t>
  </si>
  <si>
    <t>Georgia Gwinnett College</t>
  </si>
  <si>
    <t>In start up phase.</t>
  </si>
  <si>
    <t>Reclassified: met criteria for Technical Institute or College 1 in 2008-09, 2009-10 and 2010-11.</t>
  </si>
  <si>
    <t>Is the merger of Flint River Tech. Col. and Griffin Tech.l Col.</t>
  </si>
  <si>
    <t>Is the merger of East Central Tech. Col. and Valdosta Tech. Col.</t>
  </si>
  <si>
    <t>Reclassified: met the criteria for Four-Year 3 in 2008-09, 2009-10 and 2010-11.</t>
  </si>
  <si>
    <t>Reclassified: met the criteria for Four-Year 4 in 2008-09, 2009-10 and 2010-11.</t>
  </si>
  <si>
    <t>Met the criteria for classification as a Two-Year 2 in 2010-11.</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</si>
  <si>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</si>
  <si>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</si>
  <si>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</si>
  <si>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</si>
  <si>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</si>
  <si>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</si>
  <si>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</si>
  <si>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</si>
  <si>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</si>
  <si>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</si>
  <si>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</si>
  <si>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</si>
  <si>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</si>
  <si>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Met the criteria for Four-year 5 in 2010-11.</t>
  </si>
  <si>
    <t>Louisiana State University at Alexandria</t>
  </si>
  <si>
    <t>Met the criteria for Four-Year 6 in 2009-10 and 2010-11.</t>
  </si>
  <si>
    <t>Baton Rouge Community College</t>
  </si>
  <si>
    <t>Reclassified: Met criteria for Two-Year 1 in 2008-09, 2009-10 and 2010-11.</t>
  </si>
  <si>
    <t xml:space="preserve">Delgado Community College </t>
  </si>
  <si>
    <t>Now includes LTC-Jefferson Campus and LTC-W.Jefferson Campus</t>
  </si>
  <si>
    <t>Bossier Parish Community College</t>
  </si>
  <si>
    <t>Louisiana State University at Eunice</t>
  </si>
  <si>
    <t>South Louisiana Community College</t>
  </si>
  <si>
    <t>Reclassified: Met criteria for Two-Year 2 in 2008-09, 2009-10 and 2010-11.</t>
  </si>
  <si>
    <t>Louisiana Delta Community College</t>
  </si>
  <si>
    <t>Now includes LTC Tallulah Campus</t>
  </si>
  <si>
    <t>Nunez Community College</t>
  </si>
  <si>
    <t>River Parishes Community College</t>
  </si>
  <si>
    <t>Now includes LTC Ascension Campus</t>
  </si>
  <si>
    <t>Southern University in Shreveport</t>
  </si>
  <si>
    <t>Acadiana Technical College</t>
  </si>
  <si>
    <t>Includes LTC Acadian, C.B. Coreil, Evangaline, Gulf Area, Lafayette, T.H. Harris and Teche Area Campuses</t>
  </si>
  <si>
    <t>Capital Area Technical College</t>
  </si>
  <si>
    <t>Includes LTC Baton Rouge, Folkes, Jumonville Memorial and Westside Campuses</t>
  </si>
  <si>
    <t>Central LA Technical College</t>
  </si>
  <si>
    <t>Includes LTC Alexandria, Avoyelles, Huey P. Long, Lamar-Salter, Morgan Smith, Oakdale and Shelby M. Jackson campuses</t>
  </si>
  <si>
    <t>Northeast Technical College</t>
  </si>
  <si>
    <t>Includes LTC Bastrop, Delta/Ouachita, North Central, Northeast Louisiana and Ruston Campuses</t>
  </si>
  <si>
    <t>Northshore Technical College</t>
  </si>
  <si>
    <t>Includes LTC Florida Parishes, Hammond Area and Sullivan Campuses</t>
  </si>
  <si>
    <t>Northwest LA Technical College</t>
  </si>
  <si>
    <t>Includes LTC Mansfield, Nachitoches, Northwest Louisiana, Sabine Valley and Shreveport/Bossier campuses.</t>
  </si>
  <si>
    <t>South Central LA Technical College</t>
  </si>
  <si>
    <t>Includes LTC Laforuche, Rivers Parishes and Young Memorial Campuses</t>
  </si>
  <si>
    <t>Sowela Technical Community College</t>
  </si>
  <si>
    <t>L.E. Fletcher Technical Community College</t>
  </si>
  <si>
    <t>Met the criteria for Technical Institute or College 1 in 2009-10 and 2010-11.</t>
  </si>
  <si>
    <t>Met the criteria for  Four-Year 2 in 2009-10 and 2010-11.</t>
  </si>
  <si>
    <t>Reclassified: Met the criteria for Two-Year 2 in 2008-09, 2009-10 and 2010-11.</t>
  </si>
  <si>
    <t>Reclassified: Met criteria for Two-Year 1 2008-09, 2009-10 and 2010-11.</t>
  </si>
  <si>
    <t>Met the criteria for Four-Year 1 in 2009-10 and 2010-11.</t>
  </si>
  <si>
    <t>Reclassified, meets the criteria for Two-Year 1.</t>
  </si>
  <si>
    <t>Reclassified, meets the criteria for Two-Year 2.</t>
  </si>
  <si>
    <t>Reclassified, meets the criteria for Two-Year 3.</t>
  </si>
  <si>
    <t xml:space="preserve">Canadian Valley Technology Center                 </t>
  </si>
  <si>
    <t xml:space="preserve">Francis Tuttle Technology Center                  </t>
  </si>
  <si>
    <t xml:space="preserve">Great Plains Technology Center                    </t>
  </si>
  <si>
    <t>Met criteria for Technical Institute or College 2 in 2009-10 and 2010-11.</t>
  </si>
  <si>
    <t xml:space="preserve">Metro Technology Centers                          </t>
  </si>
  <si>
    <t xml:space="preserve">Tulsa Technology Center-Broken Arrow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</si>
  <si>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</si>
  <si>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</si>
  <si>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</si>
  <si>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</si>
  <si>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</si>
  <si>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</si>
  <si>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</si>
  <si>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</si>
  <si>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</si>
  <si>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</si>
  <si>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</si>
  <si>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</si>
  <si>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</si>
  <si>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</si>
  <si>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</si>
  <si>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</si>
  <si>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</si>
  <si>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</si>
  <si>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</si>
  <si>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</si>
  <si>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</si>
  <si>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</si>
  <si>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</si>
  <si>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</si>
  <si>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</si>
  <si>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</si>
  <si>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</si>
  <si>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</si>
  <si>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</si>
  <si>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</si>
  <si>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</si>
  <si>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</si>
  <si>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</si>
  <si>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</si>
  <si>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</si>
  <si>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</si>
  <si>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</si>
  <si>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</si>
  <si>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</si>
  <si>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</si>
  <si>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</si>
  <si>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Northeast Technology Center-Claremore</t>
  </si>
  <si>
    <t>New institution in start up phase. (Met the criteria for Technical Institute 2 but they'd like it in "start up" for one more year.)</t>
  </si>
  <si>
    <t>Met the criteria for Two-year 1 in 2010-11.</t>
  </si>
  <si>
    <t>Met the criteria for Two-year 1 in 2009-10 and 2010-11.</t>
  </si>
  <si>
    <t>Met the criteria for Four-Year 2 in 2009-10 and 2010-11.</t>
  </si>
  <si>
    <t>Met the criteria for Technical Institute or College 1 in 2010-11.</t>
  </si>
  <si>
    <t>Met the criteria for Four-Year 1 in 2010-11.</t>
  </si>
  <si>
    <t>Reclassified: Met the criteria for Four-Year 3 in 2008-09, 2009-10 and 2010-11.</t>
  </si>
  <si>
    <t>Met the criteria for Four-Year 3 in 2009-10 and 2010-11.</t>
  </si>
  <si>
    <t>New fall 2009. Met the criteria for Four-Year 4 in 2010-11.</t>
  </si>
  <si>
    <t>New fall 2009. Met the criteria for Four-Year 5 in 2010-11.</t>
  </si>
  <si>
    <t>New fall 2009. No degrees yet granted.</t>
  </si>
  <si>
    <t>Mountain View College  (DCCCD)</t>
  </si>
  <si>
    <t>Reclassified: met criteria for SREB Four-Year 4 in 2008-09, 2009-10 and 2010-11.</t>
  </si>
  <si>
    <t>Reclassified: met the criteria for Four-Year 5 in 2008-09, 2009-10 and 2010-11.</t>
  </si>
  <si>
    <t>Mountwest Community &amp; Technical College</t>
  </si>
  <si>
    <t>Formerly Marshall Community &amp; Technical College</t>
  </si>
  <si>
    <t>Met criteria for Two-Year 2 in 2010-11.</t>
  </si>
  <si>
    <t>Met the critieria for Two-Year 2 in 2009-10 and 2010-11.</t>
  </si>
  <si>
    <t>Public Technical Institutes or Colleges 2, 2010</t>
  </si>
  <si>
    <t>Public Technical Institutes or Colleges 1, 2010</t>
  </si>
  <si>
    <t>Public Technical Institutes or Colleges, 2010</t>
  </si>
  <si>
    <t>Public Two-Year 3 Institutions, 2010</t>
  </si>
  <si>
    <t>Public Two-Year 2 Institutions, 2010</t>
  </si>
  <si>
    <t>Public Two-Year 1 Institutions, 2010</t>
  </si>
  <si>
    <t>Public Two-Year with Bachelor's Institutions, 2010</t>
  </si>
  <si>
    <t>Public Two-Year, 2010</t>
  </si>
  <si>
    <t>Public Four-Year 6 Institutions, 2010</t>
  </si>
  <si>
    <t>Public Four-Year 5 Institutions, 2010</t>
  </si>
  <si>
    <t>Public Four-Year 4 Institutions, 2010</t>
  </si>
  <si>
    <t>Public Four-Year 3 Institutions, 2010</t>
  </si>
  <si>
    <t>Public Four-Year 2 Institutions, 2010</t>
  </si>
  <si>
    <t>Public Four-Year 1 Institutions, 2010</t>
  </si>
  <si>
    <t>Public Four-Year Institutions, 2010</t>
  </si>
  <si>
    <t>Public Four-Year Institutions, 2009</t>
  </si>
  <si>
    <t>Public Four-Year 1 Institutions, 2009</t>
  </si>
  <si>
    <t>Public Four-Year 2 Institutions, 2009</t>
  </si>
  <si>
    <t>Public Four-Year 3 Institutions, 2009</t>
  </si>
  <si>
    <t>Public Four-Year 4 Institutions, 2009</t>
  </si>
  <si>
    <t>Public Four-Year 5 Institutions, 2009</t>
  </si>
  <si>
    <t>Public Four-Year 6 Institutions, 2009</t>
  </si>
  <si>
    <t>Public Two-Year, 2009</t>
  </si>
  <si>
    <t>Public Two-Year with Bachelor's Institutions, 2009</t>
  </si>
  <si>
    <t>Public Two-Year 1 Institutions, 2009</t>
  </si>
  <si>
    <t>Public Two-Year 2 Institutions, 2009</t>
  </si>
  <si>
    <t>Public Two-Year 3 Institutions, 2009</t>
  </si>
  <si>
    <t>Public Technical Institutes or Colleges, 2009</t>
  </si>
  <si>
    <t>Public Technical Institutes or Colleges 1, 2009</t>
  </si>
  <si>
    <t>Public Technical Institutes or Colleges 2, 2009</t>
  </si>
  <si>
    <t>by Type of Institution, 2009</t>
  </si>
  <si>
    <t>Percent of Undergraduate Instructional Activity in e-Learning by Type of Institution, 2009</t>
  </si>
  <si>
    <t>Percent of Undergraduate Instructional Activity in Traditional Classroom Instruction by Type of Institution, 2009</t>
  </si>
  <si>
    <t>by Type of Institution, 2010</t>
  </si>
  <si>
    <t>Percent of Undergraduate Instructional Activity in e-Learning by Type of Institution, 2010</t>
  </si>
  <si>
    <t>Percent of Undergraduate Instructional Activity in Traditional Classroom Instruction by Type of Institution, 2010</t>
  </si>
  <si>
    <t>Due to more schools reporting in most recent year.</t>
  </si>
  <si>
    <t>Table 91</t>
  </si>
  <si>
    <t>Table 92</t>
  </si>
  <si>
    <t>Table 93</t>
  </si>
  <si>
    <t>Table 94</t>
  </si>
  <si>
    <t>Table 95</t>
  </si>
  <si>
    <t>Table 96</t>
  </si>
  <si>
    <t>Table 97</t>
  </si>
  <si>
    <t>Table 98</t>
  </si>
  <si>
    <t>Table 99</t>
  </si>
  <si>
    <t>Table 100</t>
  </si>
  <si>
    <t>Table 101</t>
  </si>
  <si>
    <t>Table 102</t>
  </si>
  <si>
    <t>Table 103</t>
  </si>
  <si>
    <t>Table 104</t>
  </si>
  <si>
    <t>Table 105</t>
  </si>
  <si>
    <t>Table 106</t>
  </si>
  <si>
    <t>Table 107</t>
  </si>
  <si>
    <t>Table 108</t>
  </si>
  <si>
    <t>Table 109</t>
  </si>
  <si>
    <t>Table 110</t>
  </si>
  <si>
    <t>Table 111</t>
  </si>
  <si>
    <t>Table 112</t>
  </si>
  <si>
    <t>dummy</t>
  </si>
  <si>
    <t xml:space="preserve"> Janaury 2012</t>
  </si>
</sst>
</file>

<file path=xl/styles.xml><?xml version="1.0" encoding="utf-8"?>
<styleSheet xmlns="http://schemas.openxmlformats.org/spreadsheetml/2006/main">
  <numFmts count="8">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00"/>
    <numFmt numFmtId="170" formatCode="#,##0.0"/>
  </numFmts>
  <fonts count="46">
    <font>
      <sz val="11"/>
      <color theme="1"/>
      <name val="Calibri"/>
      <family val="2"/>
      <scheme val="minor"/>
    </font>
    <font>
      <sz val="10"/>
      <color theme="1"/>
      <name val="Arial"/>
      <family val="2"/>
    </font>
    <font>
      <sz val="11"/>
      <color theme="1"/>
      <name val="Calibri"/>
      <family val="2"/>
      <scheme val="minor"/>
    </font>
    <font>
      <sz val="10"/>
      <name val="Arial"/>
      <family val="2"/>
    </font>
    <font>
      <b/>
      <sz val="10"/>
      <color indexed="10"/>
      <name val="Arial"/>
      <family val="2"/>
    </font>
    <font>
      <sz val="10"/>
      <color indexed="10"/>
      <name val="Arial"/>
      <family val="2"/>
    </font>
    <font>
      <sz val="8"/>
      <name val="Arial"/>
      <family val="2"/>
    </font>
    <font>
      <b/>
      <sz val="10"/>
      <name val="Arial"/>
      <family val="2"/>
    </font>
    <font>
      <b/>
      <sz val="10"/>
      <color indexed="12"/>
      <name val="Arial"/>
      <family val="2"/>
    </font>
    <font>
      <sz val="12"/>
      <name val="AGaramond"/>
      <family val="1"/>
    </font>
    <font>
      <sz val="10"/>
      <color indexed="12"/>
      <name val="Arial"/>
      <family val="2"/>
    </font>
    <font>
      <sz val="12"/>
      <name val="AGaramond"/>
      <family val="3"/>
    </font>
    <font>
      <sz val="10"/>
      <color rgb="FFC00000"/>
      <name val="Arial"/>
      <family val="2"/>
    </font>
    <font>
      <b/>
      <sz val="11"/>
      <color indexed="81"/>
      <name val="Tahoma"/>
      <family val="2"/>
    </font>
    <font>
      <b/>
      <sz val="8"/>
      <color indexed="81"/>
      <name val="Tahoma"/>
      <family val="2"/>
    </font>
    <font>
      <b/>
      <sz val="10"/>
      <color indexed="81"/>
      <name val="Tahoma"/>
      <family val="2"/>
    </font>
    <font>
      <sz val="10"/>
      <color indexed="81"/>
      <name val="Tahoma"/>
      <family val="2"/>
    </font>
    <font>
      <sz val="11"/>
      <name val="Calibri"/>
      <family val="2"/>
      <scheme val="minor"/>
    </font>
    <font>
      <b/>
      <sz val="14"/>
      <name val="Arial"/>
      <family val="2"/>
    </font>
    <font>
      <sz val="14"/>
      <name val="Arial"/>
      <family val="2"/>
    </font>
    <font>
      <b/>
      <sz val="12"/>
      <color indexed="8"/>
      <name val="Arial"/>
      <family val="2"/>
    </font>
    <font>
      <b/>
      <sz val="10"/>
      <color indexed="8"/>
      <name val="Arial"/>
      <family val="2"/>
    </font>
    <font>
      <vertAlign val="superscript"/>
      <sz val="10"/>
      <name val="Arial"/>
      <family val="2"/>
    </font>
    <font>
      <vertAlign val="superscript"/>
      <sz val="8"/>
      <name val="Arial"/>
      <family val="2"/>
    </font>
    <font>
      <b/>
      <sz val="12"/>
      <name val="Arial"/>
      <family val="2"/>
    </font>
    <font>
      <b/>
      <sz val="9"/>
      <name val="Arial"/>
      <family val="2"/>
    </font>
    <font>
      <sz val="9"/>
      <name val="Arial"/>
      <family val="2"/>
    </font>
    <font>
      <b/>
      <vertAlign val="superscript"/>
      <sz val="9"/>
      <name val="Arial"/>
      <family val="2"/>
    </font>
    <font>
      <b/>
      <sz val="9"/>
      <color rgb="FFC00000"/>
      <name val="Arial"/>
      <family val="2"/>
    </font>
    <font>
      <sz val="14"/>
      <color rgb="FFC00000"/>
      <name val="Arial"/>
      <family val="2"/>
    </font>
    <font>
      <b/>
      <sz val="10"/>
      <color rgb="FFC00000"/>
      <name val="Arial"/>
      <family val="2"/>
    </font>
    <font>
      <sz val="8"/>
      <color rgb="FFC00000"/>
      <name val="Arial"/>
      <family val="2"/>
    </font>
    <font>
      <sz val="11"/>
      <color rgb="FFC00000"/>
      <name val="Calibri"/>
      <family val="2"/>
      <scheme val="minor"/>
    </font>
    <font>
      <sz val="9"/>
      <color rgb="FFC00000"/>
      <name val="Arial"/>
      <family val="2"/>
    </font>
    <font>
      <sz val="10"/>
      <color rgb="FF0000FF"/>
      <name val="Arial"/>
      <family val="2"/>
    </font>
    <font>
      <b/>
      <sz val="11"/>
      <name val="Calibri"/>
      <family val="2"/>
      <scheme val="minor"/>
    </font>
    <font>
      <b/>
      <sz val="11"/>
      <color theme="1"/>
      <name val="Calibri"/>
      <family val="2"/>
      <scheme val="minor"/>
    </font>
    <font>
      <sz val="11"/>
      <name val="Arial"/>
      <family val="2"/>
    </font>
    <font>
      <b/>
      <sz val="10"/>
      <color theme="0"/>
      <name val="Arial"/>
      <family val="2"/>
    </font>
    <font>
      <b/>
      <sz val="10"/>
      <color rgb="FF0000FF"/>
      <name val="Arial"/>
      <family val="2"/>
    </font>
    <font>
      <b/>
      <sz val="10"/>
      <color rgb="FFFF0000"/>
      <name val="Arial"/>
      <family val="2"/>
    </font>
    <font>
      <b/>
      <strike/>
      <sz val="10"/>
      <color rgb="FFFF0000"/>
      <name val="Arial"/>
      <family val="2"/>
    </font>
    <font>
      <b/>
      <i/>
      <sz val="10"/>
      <name val="Times New Roman"/>
      <family val="1"/>
    </font>
    <font>
      <b/>
      <i/>
      <sz val="10"/>
      <name val="Arial"/>
      <family val="2"/>
    </font>
    <font>
      <b/>
      <i/>
      <sz val="10"/>
      <color rgb="FFC00000"/>
      <name val="Arial"/>
      <family val="2"/>
    </font>
    <font>
      <b/>
      <i/>
      <sz val="10"/>
      <color rgb="FFC00000"/>
      <name val="Times New Roman"/>
      <family val="1"/>
    </font>
  </fonts>
  <fills count="2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rgb="FFFFFF00"/>
        <bgColor indexed="64"/>
      </patternFill>
    </fill>
    <fill>
      <patternFill patternType="solid">
        <fgColor indexed="15"/>
        <bgColor indexed="64"/>
      </patternFill>
    </fill>
    <fill>
      <patternFill patternType="solid">
        <fgColor indexed="47"/>
        <bgColor indexed="42"/>
      </patternFill>
    </fill>
    <fill>
      <patternFill patternType="solid">
        <fgColor indexed="42"/>
        <bgColor indexed="64"/>
      </patternFill>
    </fill>
    <fill>
      <patternFill patternType="solid">
        <fgColor indexed="45"/>
        <bgColor indexed="42"/>
      </patternFill>
    </fill>
    <fill>
      <patternFill patternType="solid">
        <fgColor indexed="43"/>
        <bgColor indexed="64"/>
      </patternFill>
    </fill>
    <fill>
      <patternFill patternType="solid">
        <fgColor indexed="43"/>
        <bgColor indexed="42"/>
      </patternFill>
    </fill>
    <fill>
      <patternFill patternType="solid">
        <fgColor indexed="15"/>
        <bgColor indexed="42"/>
      </patternFill>
    </fill>
    <fill>
      <patternFill patternType="solid">
        <fgColor indexed="44"/>
        <bgColor indexed="64"/>
      </patternFill>
    </fill>
    <fill>
      <patternFill patternType="solid">
        <fgColor indexed="44"/>
        <bgColor indexed="42"/>
      </patternFill>
    </fill>
    <fill>
      <patternFill patternType="solid">
        <fgColor indexed="51"/>
        <bgColor indexed="64"/>
      </patternFill>
    </fill>
    <fill>
      <patternFill patternType="solid">
        <fgColor indexed="42"/>
        <bgColor indexed="42"/>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CC00"/>
        <bgColor indexed="64"/>
      </patternFill>
    </fill>
    <fill>
      <patternFill patternType="solid">
        <fgColor indexed="51"/>
        <bgColor indexed="42"/>
      </patternFill>
    </fill>
    <fill>
      <patternFill patternType="solid">
        <fgColor rgb="FF92D050"/>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5"/>
      </top>
      <bottom/>
      <diagonal/>
    </border>
    <border>
      <left style="thin">
        <color indexed="8"/>
      </left>
      <right/>
      <top style="thin">
        <color indexed="65"/>
      </top>
      <bottom/>
      <diagonal/>
    </border>
    <border>
      <left style="thin">
        <color indexed="8"/>
      </left>
      <right style="thin">
        <color indexed="64"/>
      </right>
      <top style="thin">
        <color indexed="65"/>
      </top>
      <bottom/>
      <diagonal/>
    </border>
    <border>
      <left style="thin">
        <color indexed="8"/>
      </left>
      <right style="thin">
        <color indexed="8"/>
      </right>
      <top style="thin">
        <color indexed="65"/>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5"/>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5"/>
      </top>
      <bottom style="thin">
        <color indexed="8"/>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8"/>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9" fontId="2" fillId="0" borderId="0" applyFont="0" applyFill="0" applyBorder="0" applyAlignment="0" applyProtection="0"/>
    <xf numFmtId="0" fontId="3" fillId="0" borderId="0"/>
    <xf numFmtId="3" fontId="6" fillId="0" borderId="0"/>
    <xf numFmtId="0" fontId="3" fillId="0" borderId="0"/>
    <xf numFmtId="0" fontId="3" fillId="0" borderId="0"/>
    <xf numFmtId="164" fontId="9" fillId="0" borderId="0"/>
    <xf numFmtId="43" fontId="3" fillId="0" borderId="0" applyFont="0" applyFill="0" applyBorder="0" applyAlignment="0" applyProtection="0"/>
    <xf numFmtId="3" fontId="6" fillId="0" borderId="0"/>
    <xf numFmtId="164" fontId="9" fillId="0" borderId="0"/>
    <xf numFmtId="43" fontId="11" fillId="0" borderId="0" applyFont="0" applyFill="0" applyBorder="0" applyAlignment="0" applyProtection="0"/>
    <xf numFmtId="164" fontId="9" fillId="0" borderId="0"/>
    <xf numFmtId="164" fontId="9" fillId="0" borderId="0"/>
    <xf numFmtId="164" fontId="9" fillId="0" borderId="0"/>
    <xf numFmtId="43" fontId="2" fillId="0" borderId="0" applyFont="0" applyFill="0" applyBorder="0" applyAlignment="0" applyProtection="0"/>
    <xf numFmtId="164" fontId="9" fillId="0" borderId="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4" fontId="11" fillId="0" borderId="0"/>
    <xf numFmtId="164" fontId="11" fillId="0" borderId="0"/>
    <xf numFmtId="0" fontId="2" fillId="0" borderId="0"/>
    <xf numFmtId="3" fontId="6" fillId="0" borderId="0"/>
  </cellStyleXfs>
  <cellXfs count="656">
    <xf numFmtId="0" fontId="0" fillId="0" borderId="0" xfId="0"/>
    <xf numFmtId="49" fontId="4" fillId="0" borderId="1" xfId="2" applyNumberFormat="1" applyFont="1" applyFill="1" applyBorder="1" applyAlignment="1">
      <alignment horizontal="left"/>
    </xf>
    <xf numFmtId="49" fontId="5" fillId="0" borderId="1" xfId="2" applyNumberFormat="1" applyFont="1" applyFill="1" applyBorder="1" applyAlignment="1">
      <alignment horizontal="left"/>
    </xf>
    <xf numFmtId="49" fontId="3" fillId="0" borderId="2" xfId="3" applyNumberFormat="1" applyFont="1" applyFill="1" applyBorder="1" applyAlignment="1" applyProtection="1">
      <alignment horizontal="center"/>
    </xf>
    <xf numFmtId="49" fontId="3" fillId="0" borderId="2" xfId="4" applyNumberFormat="1" applyFont="1" applyBorder="1" applyAlignment="1">
      <alignment horizontal="center"/>
    </xf>
    <xf numFmtId="0" fontId="7" fillId="0" borderId="3" xfId="5" applyFont="1" applyFill="1" applyBorder="1" applyAlignment="1">
      <alignment horizontal="left"/>
    </xf>
    <xf numFmtId="0" fontId="3" fillId="0" borderId="2" xfId="4" applyFont="1" applyFill="1" applyBorder="1" applyAlignment="1"/>
    <xf numFmtId="0" fontId="7" fillId="0" borderId="2" xfId="4" applyFont="1" applyFill="1" applyBorder="1" applyAlignment="1"/>
    <xf numFmtId="0" fontId="3" fillId="0" borderId="0" xfId="2" applyFont="1"/>
    <xf numFmtId="49" fontId="3" fillId="2" borderId="0" xfId="4" applyNumberFormat="1" applyFont="1" applyFill="1" applyBorder="1" applyAlignment="1">
      <alignment horizontal="center"/>
    </xf>
    <xf numFmtId="0" fontId="7" fillId="2" borderId="0" xfId="3" applyNumberFormat="1" applyFont="1" applyFill="1" applyBorder="1" applyAlignment="1" applyProtection="1">
      <alignment horizontal="center"/>
    </xf>
    <xf numFmtId="3" fontId="8" fillId="3" borderId="3" xfId="4" applyNumberFormat="1" applyFont="1" applyFill="1" applyBorder="1" applyAlignment="1">
      <alignment horizontal="centerContinuous"/>
    </xf>
    <xf numFmtId="3" fontId="4" fillId="3" borderId="4" xfId="4" applyNumberFormat="1" applyFont="1" applyFill="1" applyBorder="1" applyAlignment="1">
      <alignment horizontal="centerContinuous"/>
    </xf>
    <xf numFmtId="0" fontId="8" fillId="0" borderId="6" xfId="4" applyFont="1" applyBorder="1" applyAlignment="1">
      <alignment horizontal="centerContinuous"/>
    </xf>
    <xf numFmtId="0" fontId="8" fillId="0" borderId="9" xfId="4" applyFont="1" applyBorder="1" applyAlignment="1">
      <alignment horizontal="centerContinuous" wrapText="1"/>
    </xf>
    <xf numFmtId="0" fontId="8" fillId="0" borderId="4" xfId="4" applyFont="1" applyBorder="1" applyAlignment="1">
      <alignment horizontal="centerContinuous" wrapText="1"/>
    </xf>
    <xf numFmtId="49" fontId="3" fillId="2" borderId="1" xfId="4" applyNumberFormat="1" applyFont="1" applyFill="1" applyBorder="1" applyAlignment="1">
      <alignment horizontal="center"/>
    </xf>
    <xf numFmtId="49" fontId="3" fillId="2" borderId="1" xfId="4" applyNumberFormat="1" applyFont="1" applyFill="1" applyBorder="1" applyAlignment="1">
      <alignment horizontal="left"/>
    </xf>
    <xf numFmtId="49" fontId="3" fillId="2" borderId="1" xfId="4" applyNumberFormat="1" applyFont="1" applyFill="1" applyBorder="1" applyAlignment="1">
      <alignment horizontal="center" wrapText="1"/>
    </xf>
    <xf numFmtId="49" fontId="3" fillId="6" borderId="0" xfId="4" applyNumberFormat="1" applyFont="1" applyFill="1" applyBorder="1" applyAlignment="1">
      <alignment horizontal="center"/>
    </xf>
    <xf numFmtId="49" fontId="3" fillId="6" borderId="0" xfId="4" applyNumberFormat="1" applyFont="1" applyFill="1" applyBorder="1" applyAlignment="1">
      <alignment horizontal="left"/>
    </xf>
    <xf numFmtId="0" fontId="3" fillId="6" borderId="0" xfId="4" applyFont="1" applyFill="1" applyBorder="1" applyAlignment="1">
      <alignment horizontal="center" wrapText="1"/>
    </xf>
    <xf numFmtId="0" fontId="3" fillId="0" borderId="0" xfId="2" applyFont="1" applyFill="1" applyBorder="1"/>
    <xf numFmtId="49" fontId="3" fillId="0" borderId="0" xfId="2" applyNumberFormat="1" applyFont="1" applyFill="1" applyBorder="1" applyAlignment="1">
      <alignment horizontal="center"/>
    </xf>
    <xf numFmtId="49" fontId="3" fillId="0" borderId="0" xfId="2" applyNumberFormat="1" applyFont="1" applyFill="1" applyBorder="1" applyAlignment="1">
      <alignment horizontal="left"/>
    </xf>
    <xf numFmtId="0" fontId="8" fillId="0" borderId="0" xfId="2" applyFont="1" applyFill="1" applyBorder="1"/>
    <xf numFmtId="0" fontId="10" fillId="0" borderId="0" xfId="2" applyFont="1" applyFill="1" applyBorder="1"/>
    <xf numFmtId="0" fontId="0" fillId="0" borderId="0" xfId="0" applyBorder="1"/>
    <xf numFmtId="0" fontId="0" fillId="0" borderId="0" xfId="0" applyFill="1"/>
    <xf numFmtId="0" fontId="0" fillId="0" borderId="16" xfId="0" applyFill="1" applyBorder="1"/>
    <xf numFmtId="0" fontId="0" fillId="0" borderId="14" xfId="0" applyFill="1" applyBorder="1"/>
    <xf numFmtId="37" fontId="18" fillId="0" borderId="0" xfId="0" applyNumberFormat="1" applyFont="1" applyFill="1" applyAlignment="1" applyProtection="1">
      <alignment horizontal="centerContinuous"/>
    </xf>
    <xf numFmtId="0" fontId="19"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0" fontId="0" fillId="0" borderId="0" xfId="0" applyBorder="1" applyAlignment="1">
      <alignment horizontal="centerContinuous"/>
    </xf>
    <xf numFmtId="0" fontId="3" fillId="0" borderId="0" xfId="0" applyFont="1" applyAlignment="1">
      <alignment horizontal="centerContinuous"/>
    </xf>
    <xf numFmtId="37" fontId="7" fillId="0" borderId="0" xfId="0" applyNumberFormat="1" applyFont="1" applyFill="1" applyAlignment="1" applyProtection="1">
      <alignment horizontal="centerContinuous"/>
    </xf>
    <xf numFmtId="0" fontId="3" fillId="0" borderId="0" xfId="0" applyFont="1" applyFill="1" applyAlignment="1">
      <alignment horizontal="centerContinuous"/>
    </xf>
    <xf numFmtId="0" fontId="3" fillId="0" borderId="0" xfId="0" applyFont="1" applyBorder="1" applyAlignment="1">
      <alignment horizontal="centerContinuous"/>
    </xf>
    <xf numFmtId="0" fontId="3" fillId="0" borderId="0" xfId="0" applyFont="1"/>
    <xf numFmtId="37" fontId="20" fillId="0" borderId="0" xfId="0" applyNumberFormat="1" applyFont="1" applyAlignment="1" applyProtection="1">
      <alignment horizontal="centerContinuous"/>
    </xf>
    <xf numFmtId="37" fontId="21" fillId="0" borderId="1" xfId="0" applyNumberFormat="1" applyFont="1" applyBorder="1" applyProtection="1"/>
    <xf numFmtId="0" fontId="0" fillId="0" borderId="1" xfId="0" applyBorder="1"/>
    <xf numFmtId="0" fontId="0" fillId="0" borderId="1" xfId="0" applyFill="1" applyBorder="1"/>
    <xf numFmtId="37" fontId="21" fillId="0" borderId="2" xfId="0" applyNumberFormat="1" applyFont="1" applyBorder="1" applyProtection="1"/>
    <xf numFmtId="0" fontId="7" fillId="0" borderId="3" xfId="0" applyFont="1" applyBorder="1" applyAlignment="1">
      <alignment horizontal="centerContinuous"/>
    </xf>
    <xf numFmtId="0" fontId="7" fillId="0" borderId="2" xfId="0" applyFont="1" applyBorder="1" applyAlignment="1">
      <alignment horizontal="centerContinuous"/>
    </xf>
    <xf numFmtId="0" fontId="7" fillId="0" borderId="2" xfId="0" applyFont="1" applyFill="1" applyBorder="1" applyAlignment="1">
      <alignment horizontal="centerContinuous"/>
    </xf>
    <xf numFmtId="0" fontId="7" fillId="0" borderId="0" xfId="0" applyFont="1"/>
    <xf numFmtId="37" fontId="21" fillId="0" borderId="2" xfId="0" applyNumberFormat="1" applyFont="1" applyBorder="1" applyAlignment="1" applyProtection="1">
      <alignment horizontal="center"/>
    </xf>
    <xf numFmtId="0" fontId="7" fillId="0" borderId="2" xfId="0" applyFont="1" applyBorder="1" applyAlignment="1">
      <alignment horizontal="center"/>
    </xf>
    <xf numFmtId="0" fontId="7" fillId="0" borderId="9" xfId="0" applyFont="1" applyFill="1" applyBorder="1" applyAlignment="1">
      <alignment horizontal="center"/>
    </xf>
    <xf numFmtId="0" fontId="7" fillId="0" borderId="3" xfId="0" applyFont="1" applyBorder="1" applyAlignment="1">
      <alignment horizontal="center" wrapText="1"/>
    </xf>
    <xf numFmtId="0" fontId="7" fillId="0" borderId="3" xfId="0" applyFont="1" applyBorder="1" applyAlignment="1">
      <alignment horizontal="center"/>
    </xf>
    <xf numFmtId="0" fontId="7" fillId="0" borderId="3" xfId="0" applyFont="1" applyFill="1" applyBorder="1" applyAlignment="1">
      <alignment horizontal="center"/>
    </xf>
    <xf numFmtId="0" fontId="7" fillId="0" borderId="0" xfId="0" applyFont="1" applyAlignment="1">
      <alignment horizontal="center"/>
    </xf>
    <xf numFmtId="0" fontId="3" fillId="0" borderId="1" xfId="0" applyFont="1" applyBorder="1"/>
    <xf numFmtId="0" fontId="23" fillId="0" borderId="0" xfId="0" applyFont="1" applyFill="1" applyBorder="1"/>
    <xf numFmtId="0" fontId="6" fillId="0" borderId="0" xfId="0" applyFont="1"/>
    <xf numFmtId="0" fontId="6" fillId="0" borderId="0" xfId="0" applyFont="1" applyFill="1"/>
    <xf numFmtId="0" fontId="6" fillId="0" borderId="0" xfId="0" applyFont="1" applyBorder="1"/>
    <xf numFmtId="0" fontId="6" fillId="0" borderId="0" xfId="0" applyFont="1" applyFill="1" applyBorder="1"/>
    <xf numFmtId="49" fontId="6" fillId="0" borderId="0" xfId="0" applyNumberFormat="1" applyFont="1" applyBorder="1" applyAlignment="1">
      <alignment horizontal="right"/>
    </xf>
    <xf numFmtId="49" fontId="6" fillId="0" borderId="0" xfId="0" quotePrefix="1" applyNumberFormat="1" applyFont="1" applyFill="1" applyAlignment="1">
      <alignment horizontal="right"/>
    </xf>
    <xf numFmtId="0" fontId="3" fillId="0" borderId="0" xfId="0" applyFont="1" applyFill="1"/>
    <xf numFmtId="37" fontId="21" fillId="0" borderId="0" xfId="0" applyNumberFormat="1" applyFont="1" applyAlignment="1" applyProtection="1">
      <alignment horizontal="centerContinuous"/>
    </xf>
    <xf numFmtId="0" fontId="3" fillId="0" borderId="0" xfId="0" applyFont="1" applyBorder="1"/>
    <xf numFmtId="0" fontId="7" fillId="0" borderId="4" xfId="0" applyFont="1" applyFill="1" applyBorder="1" applyAlignment="1">
      <alignment horizontal="centerContinuous"/>
    </xf>
    <xf numFmtId="0" fontId="7" fillId="0" borderId="0" xfId="0" applyFont="1" applyBorder="1" applyAlignment="1">
      <alignment horizontal="center"/>
    </xf>
    <xf numFmtId="0" fontId="23" fillId="0" borderId="0"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0" xfId="0" applyAlignment="1">
      <alignment horizontal="center"/>
    </xf>
    <xf numFmtId="0" fontId="0" fillId="0" borderId="0" xfId="0"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7" fillId="0" borderId="0" xfId="0" applyFont="1" applyFill="1"/>
    <xf numFmtId="0" fontId="7" fillId="0" borderId="0" xfId="0" applyFont="1" applyFill="1" applyAlignment="1">
      <alignment horizontal="center"/>
    </xf>
    <xf numFmtId="167" fontId="0" fillId="0" borderId="0" xfId="0" applyNumberFormat="1" applyBorder="1"/>
    <xf numFmtId="0" fontId="23" fillId="0" borderId="0" xfId="0" applyFont="1" applyFill="1" applyBorder="1" applyAlignment="1">
      <alignment vertical="top"/>
    </xf>
    <xf numFmtId="0" fontId="0" fillId="0" borderId="0" xfId="0" applyAlignment="1">
      <alignment vertical="top" wrapText="1"/>
    </xf>
    <xf numFmtId="37" fontId="20" fillId="0" borderId="0" xfId="0" applyNumberFormat="1" applyFont="1" applyAlignment="1" applyProtection="1">
      <alignment horizontal="center"/>
    </xf>
    <xf numFmtId="0" fontId="0" fillId="0" borderId="0" xfId="0" applyFill="1" applyAlignment="1">
      <alignment horizontal="center"/>
    </xf>
    <xf numFmtId="167" fontId="6" fillId="0" borderId="0" xfId="0" applyNumberFormat="1" applyFont="1" applyBorder="1"/>
    <xf numFmtId="0" fontId="0" fillId="0" borderId="0" xfId="0" applyBorder="1" applyAlignment="1">
      <alignment vertical="top"/>
    </xf>
    <xf numFmtId="0" fontId="19" fillId="0" borderId="0" xfId="0" applyFont="1" applyFill="1" applyAlignment="1">
      <alignment horizontal="centerContinuous"/>
    </xf>
    <xf numFmtId="0" fontId="19" fillId="0" borderId="0" xfId="0" applyFont="1" applyFill="1" applyBorder="1" applyAlignment="1">
      <alignment horizontal="centerContinuous"/>
    </xf>
    <xf numFmtId="0" fontId="3" fillId="0" borderId="0" xfId="0" applyFont="1" applyFill="1" applyBorder="1" applyAlignment="1">
      <alignment horizontal="centerContinuous"/>
    </xf>
    <xf numFmtId="37" fontId="24" fillId="0" borderId="0" xfId="0" applyNumberFormat="1" applyFont="1" applyFill="1" applyAlignment="1" applyProtection="1">
      <alignment horizontal="centerContinuous"/>
    </xf>
    <xf numFmtId="165" fontId="3" fillId="0" borderId="0" xfId="7" applyNumberFormat="1" applyFont="1" applyFill="1" applyBorder="1" applyAlignment="1">
      <alignment horizontal="left"/>
    </xf>
    <xf numFmtId="0" fontId="3" fillId="0" borderId="1" xfId="0" applyFont="1" applyFill="1" applyBorder="1"/>
    <xf numFmtId="3" fontId="3" fillId="0" borderId="1" xfId="0" applyNumberFormat="1" applyFont="1" applyFill="1" applyBorder="1"/>
    <xf numFmtId="0" fontId="3" fillId="0" borderId="1" xfId="0" applyFont="1" applyFill="1" applyBorder="1" applyAlignment="1">
      <alignment horizontal="left"/>
    </xf>
    <xf numFmtId="3" fontId="3" fillId="0" borderId="0" xfId="0" applyNumberFormat="1" applyFont="1" applyFill="1" applyBorder="1"/>
    <xf numFmtId="37" fontId="25" fillId="0" borderId="0" xfId="0" applyNumberFormat="1" applyFont="1" applyFill="1" applyBorder="1" applyProtection="1"/>
    <xf numFmtId="0" fontId="25" fillId="0" borderId="2" xfId="0" applyFont="1" applyFill="1" applyBorder="1" applyAlignment="1">
      <alignment horizontal="centerContinuous"/>
    </xf>
    <xf numFmtId="0" fontId="25" fillId="0" borderId="0" xfId="0" applyFont="1" applyFill="1" applyBorder="1" applyAlignment="1">
      <alignment horizontal="centerContinuous"/>
    </xf>
    <xf numFmtId="165" fontId="26" fillId="0" borderId="0" xfId="7" applyNumberFormat="1" applyFont="1" applyFill="1" applyBorder="1" applyAlignment="1">
      <alignment horizontal="left"/>
    </xf>
    <xf numFmtId="165" fontId="25" fillId="0" borderId="0" xfId="7" applyNumberFormat="1" applyFont="1" applyFill="1" applyBorder="1" applyAlignment="1">
      <alignment horizontal="centerContinuous"/>
    </xf>
    <xf numFmtId="0" fontId="25" fillId="0" borderId="0" xfId="0" applyFont="1" applyFill="1"/>
    <xf numFmtId="0" fontId="25" fillId="0" borderId="22" xfId="0" applyFont="1" applyFill="1" applyBorder="1" applyAlignment="1">
      <alignment horizontal="centerContinuous"/>
    </xf>
    <xf numFmtId="0" fontId="25" fillId="0" borderId="2" xfId="0" applyFont="1" applyFill="1" applyBorder="1" applyAlignment="1">
      <alignment horizontal="center" wrapText="1"/>
    </xf>
    <xf numFmtId="0" fontId="25" fillId="0" borderId="4" xfId="0" applyFont="1" applyFill="1" applyBorder="1" applyAlignment="1">
      <alignment horizontal="center" wrapText="1"/>
    </xf>
    <xf numFmtId="0" fontId="25" fillId="0" borderId="9" xfId="0" applyFont="1" applyFill="1" applyBorder="1" applyAlignment="1">
      <alignment horizontal="center" wrapText="1"/>
    </xf>
    <xf numFmtId="0" fontId="25" fillId="0" borderId="3" xfId="0" applyFont="1" applyFill="1" applyBorder="1" applyAlignment="1">
      <alignment horizontal="centerContinuous"/>
    </xf>
    <xf numFmtId="0" fontId="25" fillId="0" borderId="4" xfId="0" applyFont="1" applyFill="1" applyBorder="1" applyAlignment="1">
      <alignment horizontal="centerContinuous"/>
    </xf>
    <xf numFmtId="0" fontId="25" fillId="0" borderId="7" xfId="0" applyFont="1" applyFill="1" applyBorder="1" applyAlignment="1">
      <alignment horizontal="center" wrapText="1"/>
    </xf>
    <xf numFmtId="3" fontId="28" fillId="0" borderId="0" xfId="0" applyNumberFormat="1" applyFont="1" applyFill="1"/>
    <xf numFmtId="0" fontId="28" fillId="0" borderId="0" xfId="0" applyFont="1" applyFill="1"/>
    <xf numFmtId="0" fontId="3" fillId="0" borderId="21" xfId="0" applyFont="1" applyFill="1" applyBorder="1" applyAlignment="1">
      <alignment horizontal="left"/>
    </xf>
    <xf numFmtId="167" fontId="3" fillId="0" borderId="0" xfId="1" applyNumberFormat="1" applyFont="1" applyFill="1" applyBorder="1" applyAlignment="1">
      <alignment horizontal="right"/>
    </xf>
    <xf numFmtId="167" fontId="3" fillId="0" borderId="10" xfId="7" applyNumberFormat="1" applyFont="1" applyFill="1" applyBorder="1" applyAlignment="1">
      <alignment horizontal="right"/>
    </xf>
    <xf numFmtId="167" fontId="3" fillId="0" borderId="6" xfId="1" applyNumberFormat="1" applyFont="1" applyFill="1" applyBorder="1" applyAlignment="1">
      <alignment horizontal="right"/>
    </xf>
    <xf numFmtId="169" fontId="3" fillId="0" borderId="0" xfId="1" applyNumberFormat="1" applyFont="1" applyFill="1" applyBorder="1" applyAlignment="1">
      <alignment horizontal="right"/>
    </xf>
    <xf numFmtId="0" fontId="3" fillId="0" borderId="21" xfId="0" applyFont="1" applyFill="1" applyBorder="1"/>
    <xf numFmtId="167" fontId="3" fillId="0" borderId="0" xfId="0" applyNumberFormat="1" applyFont="1" applyFill="1"/>
    <xf numFmtId="1" fontId="3" fillId="0" borderId="0" xfId="0" applyNumberFormat="1" applyFont="1" applyFill="1"/>
    <xf numFmtId="0" fontId="3" fillId="0" borderId="0" xfId="0" applyFont="1" applyFill="1" applyBorder="1"/>
    <xf numFmtId="167" fontId="3" fillId="0" borderId="11" xfId="1" applyNumberFormat="1" applyFont="1" applyFill="1" applyBorder="1" applyAlignment="1">
      <alignment horizontal="right"/>
    </xf>
    <xf numFmtId="2" fontId="3" fillId="0" borderId="0" xfId="1" applyNumberFormat="1" applyFont="1" applyFill="1" applyBorder="1" applyAlignment="1">
      <alignment horizontal="right"/>
    </xf>
    <xf numFmtId="2" fontId="3" fillId="0" borderId="11" xfId="1" applyNumberFormat="1" applyFont="1" applyFill="1" applyBorder="1" applyAlignment="1">
      <alignment horizontal="right"/>
    </xf>
    <xf numFmtId="167" fontId="3" fillId="0" borderId="1" xfId="1" applyNumberFormat="1" applyFont="1" applyFill="1" applyBorder="1" applyAlignment="1">
      <alignment horizontal="right"/>
    </xf>
    <xf numFmtId="167" fontId="3" fillId="0" borderId="13" xfId="7" applyNumberFormat="1" applyFont="1" applyFill="1" applyBorder="1" applyAlignment="1">
      <alignment horizontal="right"/>
    </xf>
    <xf numFmtId="167" fontId="3" fillId="0" borderId="8" xfId="1" applyNumberFormat="1" applyFont="1" applyFill="1" applyBorder="1" applyAlignment="1">
      <alignment horizontal="right"/>
    </xf>
    <xf numFmtId="169" fontId="3" fillId="0" borderId="1" xfId="1" applyNumberFormat="1" applyFont="1" applyFill="1" applyBorder="1" applyAlignment="1">
      <alignment horizontal="right"/>
    </xf>
    <xf numFmtId="168" fontId="6" fillId="0" borderId="0" xfId="7" applyNumberFormat="1" applyFont="1" applyFill="1" applyBorder="1" applyAlignment="1">
      <alignment horizontal="right"/>
    </xf>
    <xf numFmtId="168" fontId="6" fillId="0" borderId="0" xfId="7" applyNumberFormat="1" applyFont="1" applyFill="1" applyBorder="1" applyAlignment="1">
      <alignment horizontal="right" indent="1"/>
    </xf>
    <xf numFmtId="167" fontId="6" fillId="0" borderId="0" xfId="0" applyNumberFormat="1" applyFont="1" applyFill="1"/>
    <xf numFmtId="0" fontId="23" fillId="0" borderId="0" xfId="0" applyFont="1" applyFill="1" applyBorder="1" applyAlignment="1">
      <alignment wrapText="1"/>
    </xf>
    <xf numFmtId="0" fontId="0" fillId="0" borderId="0" xfId="0" applyFill="1" applyAlignment="1"/>
    <xf numFmtId="3" fontId="25" fillId="0" borderId="0" xfId="0" applyNumberFormat="1" applyFont="1" applyFill="1"/>
    <xf numFmtId="3" fontId="3" fillId="0" borderId="0" xfId="0" applyNumberFormat="1" applyFont="1" applyFill="1"/>
    <xf numFmtId="2" fontId="3" fillId="0" borderId="1" xfId="1" applyNumberFormat="1" applyFont="1" applyFill="1" applyBorder="1" applyAlignment="1">
      <alignment horizontal="right"/>
    </xf>
    <xf numFmtId="0" fontId="23" fillId="0" borderId="0" xfId="0" applyFont="1" applyFill="1"/>
    <xf numFmtId="168" fontId="6" fillId="0" borderId="0" xfId="0" applyNumberFormat="1" applyFont="1" applyFill="1"/>
    <xf numFmtId="0" fontId="6" fillId="0" borderId="0" xfId="0" applyFont="1" applyFill="1" applyAlignment="1">
      <alignment horizontal="centerContinuous"/>
    </xf>
    <xf numFmtId="0" fontId="23" fillId="0" borderId="0" xfId="0" applyFont="1" applyFill="1" applyBorder="1" applyAlignment="1">
      <alignment vertical="top" wrapText="1"/>
    </xf>
    <xf numFmtId="0" fontId="0" fillId="0" borderId="0" xfId="0" applyBorder="1" applyAlignment="1">
      <alignment vertical="top" wrapText="1"/>
    </xf>
    <xf numFmtId="169" fontId="3" fillId="0" borderId="11" xfId="1" applyNumberFormat="1" applyFont="1" applyFill="1" applyBorder="1" applyAlignment="1">
      <alignment horizontal="right"/>
    </xf>
    <xf numFmtId="2" fontId="3" fillId="0" borderId="8" xfId="1" applyNumberFormat="1" applyFont="1" applyFill="1" applyBorder="1" applyAlignment="1">
      <alignment horizontal="right"/>
    </xf>
    <xf numFmtId="0" fontId="3" fillId="0" borderId="0" xfId="0" applyFont="1" applyFill="1" applyBorder="1" applyAlignment="1">
      <alignment horizontal="left"/>
    </xf>
    <xf numFmtId="169" fontId="3" fillId="0" borderId="6" xfId="1" applyNumberFormat="1" applyFont="1" applyFill="1" applyBorder="1" applyAlignment="1">
      <alignment horizontal="right"/>
    </xf>
    <xf numFmtId="167" fontId="3" fillId="0" borderId="0" xfId="7" applyNumberFormat="1" applyFont="1" applyFill="1" applyBorder="1" applyAlignment="1"/>
    <xf numFmtId="167" fontId="3" fillId="0" borderId="0" xfId="1" quotePrefix="1" applyNumberFormat="1" applyFont="1" applyFill="1" applyBorder="1" applyAlignment="1">
      <alignment horizontal="right"/>
    </xf>
    <xf numFmtId="167" fontId="3" fillId="0" borderId="0" xfId="7" applyNumberFormat="1" applyFont="1" applyFill="1" applyBorder="1" applyAlignment="1">
      <alignment horizontal="right"/>
    </xf>
    <xf numFmtId="167" fontId="3" fillId="0" borderId="0" xfId="7" applyNumberFormat="1" applyFont="1" applyFill="1" applyBorder="1" applyAlignment="1">
      <alignment horizontal="right" indent="1"/>
    </xf>
    <xf numFmtId="0" fontId="6" fillId="0" borderId="0" xfId="0" applyFont="1" applyFill="1" applyBorder="1" applyAlignment="1">
      <alignment horizontal="left"/>
    </xf>
    <xf numFmtId="167" fontId="3" fillId="0" borderId="0" xfId="1" quotePrefix="1" applyNumberFormat="1" applyFont="1" applyFill="1" applyBorder="1" applyAlignment="1">
      <alignment horizontal="left"/>
    </xf>
    <xf numFmtId="2" fontId="3" fillId="0" borderId="6" xfId="1" applyNumberFormat="1" applyFont="1" applyFill="1" applyBorder="1" applyAlignment="1">
      <alignment horizontal="right"/>
    </xf>
    <xf numFmtId="167" fontId="3" fillId="0" borderId="0" xfId="0" applyNumberFormat="1" applyFont="1" applyFill="1" applyBorder="1"/>
    <xf numFmtId="0" fontId="3" fillId="0" borderId="0" xfId="0" applyFont="1" applyFill="1" applyAlignment="1">
      <alignment horizontal="left"/>
    </xf>
    <xf numFmtId="165" fontId="29" fillId="0" borderId="0" xfId="7" applyNumberFormat="1" applyFont="1" applyFill="1" applyBorder="1" applyAlignment="1">
      <alignment horizontal="left"/>
    </xf>
    <xf numFmtId="165" fontId="29" fillId="0" borderId="0" xfId="7" applyNumberFormat="1" applyFont="1" applyFill="1" applyBorder="1" applyAlignment="1">
      <alignment horizontal="centerContinuous"/>
    </xf>
    <xf numFmtId="0" fontId="12" fillId="0" borderId="0" xfId="0" applyFont="1" applyFill="1"/>
    <xf numFmtId="165" fontId="12" fillId="0" borderId="0" xfId="7" applyNumberFormat="1" applyFont="1" applyFill="1" applyBorder="1" applyAlignment="1">
      <alignment horizontal="left"/>
    </xf>
    <xf numFmtId="165" fontId="12" fillId="0" borderId="0" xfId="7" applyNumberFormat="1" applyFont="1" applyFill="1" applyBorder="1" applyAlignment="1">
      <alignment horizontal="centerContinuous"/>
    </xf>
    <xf numFmtId="165" fontId="12" fillId="0" borderId="0" xfId="7" applyNumberFormat="1" applyFont="1" applyFill="1" applyBorder="1"/>
    <xf numFmtId="165" fontId="33" fillId="0" borderId="0" xfId="7" applyNumberFormat="1" applyFont="1" applyFill="1" applyBorder="1" applyAlignment="1">
      <alignment horizontal="left"/>
    </xf>
    <xf numFmtId="165" fontId="28" fillId="0" borderId="0" xfId="7" applyNumberFormat="1" applyFont="1" applyFill="1" applyBorder="1" applyAlignment="1">
      <alignment horizontal="centerContinuous"/>
    </xf>
    <xf numFmtId="168" fontId="12" fillId="0" borderId="0" xfId="7" applyNumberFormat="1" applyFont="1" applyFill="1" applyBorder="1" applyAlignment="1">
      <alignment horizontal="right"/>
    </xf>
    <xf numFmtId="167" fontId="12" fillId="0" borderId="0" xfId="0" applyNumberFormat="1" applyFont="1" applyFill="1"/>
    <xf numFmtId="1" fontId="12" fillId="0" borderId="0" xfId="0" applyNumberFormat="1" applyFont="1" applyFill="1"/>
    <xf numFmtId="0" fontId="12" fillId="0" borderId="0" xfId="0" applyFont="1" applyFill="1" applyBorder="1"/>
    <xf numFmtId="168" fontId="31" fillId="0" borderId="0" xfId="7" applyNumberFormat="1" applyFont="1" applyFill="1" applyBorder="1" applyAlignment="1">
      <alignment horizontal="right"/>
    </xf>
    <xf numFmtId="167" fontId="31" fillId="0" borderId="0" xfId="0" applyNumberFormat="1" applyFont="1" applyFill="1"/>
    <xf numFmtId="0" fontId="31" fillId="0" borderId="0" xfId="0" applyFont="1" applyFill="1"/>
    <xf numFmtId="3" fontId="12" fillId="0" borderId="0" xfId="0" applyNumberFormat="1" applyFont="1" applyFill="1"/>
    <xf numFmtId="0" fontId="31" fillId="0" borderId="0" xfId="0" applyFont="1" applyFill="1" applyBorder="1"/>
    <xf numFmtId="165" fontId="31" fillId="0" borderId="0" xfId="7" applyNumberFormat="1" applyFont="1" applyFill="1" applyBorder="1"/>
    <xf numFmtId="167" fontId="12" fillId="0" borderId="0" xfId="0" applyNumberFormat="1" applyFont="1" applyFill="1" applyBorder="1"/>
    <xf numFmtId="165" fontId="31" fillId="0" borderId="0" xfId="7" applyNumberFormat="1" applyFont="1" applyFill="1" applyBorder="1" applyAlignment="1">
      <alignment horizontal="left"/>
    </xf>
    <xf numFmtId="167" fontId="32" fillId="0" borderId="0" xfId="0" applyNumberFormat="1" applyFont="1"/>
    <xf numFmtId="167" fontId="34" fillId="0" borderId="10" xfId="7" applyNumberFormat="1" applyFont="1" applyFill="1" applyBorder="1" applyAlignment="1">
      <alignment horizontal="right"/>
    </xf>
    <xf numFmtId="167" fontId="34" fillId="0" borderId="13" xfId="7" applyNumberFormat="1" applyFont="1" applyFill="1" applyBorder="1" applyAlignment="1">
      <alignment horizontal="right"/>
    </xf>
    <xf numFmtId="0" fontId="17" fillId="0" borderId="0" xfId="0" applyFont="1" applyFill="1" applyAlignment="1"/>
    <xf numFmtId="0" fontId="17" fillId="0" borderId="0" xfId="0" applyFont="1" applyBorder="1" applyAlignment="1">
      <alignment vertical="top" wrapText="1"/>
    </xf>
    <xf numFmtId="0" fontId="17" fillId="0" borderId="0" xfId="0" applyFont="1" applyFill="1" applyBorder="1" applyAlignment="1">
      <alignment vertical="top" wrapText="1"/>
    </xf>
    <xf numFmtId="0" fontId="17" fillId="0" borderId="0" xfId="0" applyFont="1" applyAlignment="1">
      <alignment wrapText="1"/>
    </xf>
    <xf numFmtId="49" fontId="18" fillId="0" borderId="0" xfId="0" applyNumberFormat="1" applyFont="1" applyFill="1" applyAlignment="1" applyProtection="1">
      <alignment horizontal="centerContinuous"/>
      <protection locked="0"/>
    </xf>
    <xf numFmtId="167" fontId="12" fillId="0" borderId="5" xfId="0" applyNumberFormat="1" applyFont="1" applyBorder="1" applyAlignment="1">
      <alignment horizontal="center"/>
    </xf>
    <xf numFmtId="167" fontId="12" fillId="0" borderId="22" xfId="0" applyNumberFormat="1" applyFont="1" applyBorder="1" applyAlignment="1">
      <alignment horizontal="center"/>
    </xf>
    <xf numFmtId="0" fontId="12" fillId="0" borderId="5" xfId="0" applyFont="1" applyBorder="1"/>
    <xf numFmtId="0" fontId="31" fillId="0" borderId="5" xfId="0" applyFont="1" applyBorder="1"/>
    <xf numFmtId="37" fontId="21" fillId="0" borderId="1" xfId="0" applyNumberFormat="1" applyFont="1" applyBorder="1" applyAlignment="1" applyProtection="1">
      <alignment horizontal="centerContinuous"/>
    </xf>
    <xf numFmtId="0" fontId="0" fillId="0" borderId="1" xfId="0" applyBorder="1" applyAlignment="1">
      <alignment horizontal="centerContinuous"/>
    </xf>
    <xf numFmtId="0" fontId="0" fillId="0" borderId="1" xfId="0" applyFill="1" applyBorder="1" applyAlignment="1">
      <alignment horizontal="centerContinuous"/>
    </xf>
    <xf numFmtId="167" fontId="3" fillId="0" borderId="0" xfId="0" applyNumberFormat="1" applyFont="1" applyAlignment="1">
      <alignment horizontal="center"/>
    </xf>
    <xf numFmtId="167" fontId="3" fillId="0" borderId="1" xfId="0" applyNumberFormat="1" applyFont="1" applyBorder="1" applyAlignment="1">
      <alignment horizontal="center"/>
    </xf>
    <xf numFmtId="167" fontId="3" fillId="0" borderId="12" xfId="0" applyNumberFormat="1" applyFont="1" applyFill="1" applyBorder="1" applyAlignment="1">
      <alignment horizontal="center"/>
    </xf>
    <xf numFmtId="167" fontId="3" fillId="0" borderId="10" xfId="0" applyNumberFormat="1" applyFont="1" applyFill="1" applyBorder="1" applyAlignment="1">
      <alignment horizontal="center"/>
    </xf>
    <xf numFmtId="167" fontId="3" fillId="0" borderId="13" xfId="0" applyNumberFormat="1" applyFont="1" applyFill="1" applyBorder="1" applyAlignment="1">
      <alignment horizontal="center"/>
    </xf>
    <xf numFmtId="167" fontId="3" fillId="0" borderId="5" xfId="0" applyNumberFormat="1" applyFont="1" applyBorder="1" applyAlignment="1">
      <alignment horizontal="center"/>
    </xf>
    <xf numFmtId="167" fontId="3" fillId="0" borderId="7" xfId="0" applyNumberFormat="1" applyFont="1" applyBorder="1" applyAlignment="1">
      <alignment horizontal="center"/>
    </xf>
    <xf numFmtId="167" fontId="3" fillId="0" borderId="8" xfId="0" applyNumberFormat="1" applyFont="1" applyBorder="1" applyAlignment="1">
      <alignment horizontal="center"/>
    </xf>
    <xf numFmtId="167" fontId="3" fillId="0" borderId="5" xfId="0" applyNumberFormat="1" applyFont="1" applyBorder="1"/>
    <xf numFmtId="167" fontId="3" fillId="0" borderId="7" xfId="0" applyNumberFormat="1" applyFont="1" applyBorder="1"/>
    <xf numFmtId="167" fontId="3" fillId="0" borderId="0" xfId="0" applyNumberFormat="1" applyFont="1"/>
    <xf numFmtId="167" fontId="3" fillId="0" borderId="1" xfId="0" applyNumberFormat="1" applyFont="1" applyBorder="1"/>
    <xf numFmtId="167" fontId="3" fillId="0" borderId="22" xfId="0" applyNumberFormat="1" applyFont="1" applyFill="1" applyBorder="1" applyAlignment="1">
      <alignment horizontal="center"/>
    </xf>
    <xf numFmtId="167" fontId="3" fillId="0" borderId="5" xfId="0" applyNumberFormat="1" applyFont="1" applyFill="1" applyBorder="1" applyAlignment="1">
      <alignment horizontal="center"/>
    </xf>
    <xf numFmtId="167" fontId="3" fillId="0" borderId="7" xfId="0" applyNumberFormat="1" applyFont="1" applyFill="1" applyBorder="1" applyAlignment="1">
      <alignment horizontal="center"/>
    </xf>
    <xf numFmtId="0" fontId="3" fillId="0" borderId="5" xfId="0" applyFont="1" applyFill="1" applyBorder="1"/>
    <xf numFmtId="0" fontId="6" fillId="0" borderId="5" xfId="0" applyFont="1" applyBorder="1"/>
    <xf numFmtId="167" fontId="3" fillId="0" borderId="0" xfId="0" applyNumberFormat="1" applyFont="1" applyFill="1" applyAlignment="1">
      <alignment horizontal="center"/>
    </xf>
    <xf numFmtId="0" fontId="3" fillId="0" borderId="5" xfId="0" applyFont="1" applyBorder="1"/>
    <xf numFmtId="167" fontId="17" fillId="0" borderId="5" xfId="0" applyNumberFormat="1" applyFont="1" applyBorder="1" applyAlignment="1">
      <alignment horizontal="center"/>
    </xf>
    <xf numFmtId="167" fontId="3" fillId="0" borderId="21" xfId="0" applyNumberFormat="1" applyFont="1" applyBorder="1" applyAlignment="1">
      <alignment horizontal="center"/>
    </xf>
    <xf numFmtId="167" fontId="3" fillId="0" borderId="0" xfId="0" applyNumberFormat="1" applyFont="1" applyBorder="1" applyAlignment="1">
      <alignment horizontal="center"/>
    </xf>
    <xf numFmtId="0" fontId="0" fillId="0" borderId="0" xfId="0" applyFill="1" applyBorder="1"/>
    <xf numFmtId="0" fontId="0" fillId="0" borderId="0" xfId="0" applyBorder="1" applyAlignment="1" applyProtection="1">
      <alignment vertical="center" wrapText="1"/>
      <protection locked="0"/>
    </xf>
    <xf numFmtId="0" fontId="0" fillId="7" borderId="5" xfId="0" applyFill="1" applyBorder="1"/>
    <xf numFmtId="0" fontId="0" fillId="7" borderId="0" xfId="0" applyFill="1" applyBorder="1"/>
    <xf numFmtId="0" fontId="0" fillId="7" borderId="0" xfId="0" applyFill="1"/>
    <xf numFmtId="0" fontId="0" fillId="4" borderId="5" xfId="0" applyFill="1" applyBorder="1"/>
    <xf numFmtId="0" fontId="0" fillId="4" borderId="0" xfId="0" applyFill="1" applyBorder="1"/>
    <xf numFmtId="0" fontId="0" fillId="4" borderId="0" xfId="0" applyFill="1"/>
    <xf numFmtId="0" fontId="0" fillId="13" borderId="5" xfId="0" applyFill="1" applyBorder="1"/>
    <xf numFmtId="0" fontId="0" fillId="13" borderId="0" xfId="0" applyFill="1" applyBorder="1"/>
    <xf numFmtId="0" fontId="0" fillId="7" borderId="7" xfId="0" applyFill="1" applyBorder="1" applyAlignment="1">
      <alignment horizontal="centerContinuous"/>
    </xf>
    <xf numFmtId="0" fontId="0" fillId="7" borderId="8" xfId="0" applyFill="1" applyBorder="1" applyAlignment="1">
      <alignment horizontal="centerContinuous"/>
    </xf>
    <xf numFmtId="0" fontId="0" fillId="7" borderId="1" xfId="0" applyFill="1" applyBorder="1" applyAlignment="1">
      <alignment horizontal="centerContinuous"/>
    </xf>
    <xf numFmtId="0" fontId="0" fillId="4" borderId="7" xfId="0" applyFill="1" applyBorder="1" applyAlignment="1">
      <alignment horizontal="centerContinuous"/>
    </xf>
    <xf numFmtId="0" fontId="0" fillId="4" borderId="1" xfId="0" applyFill="1" applyBorder="1" applyAlignment="1">
      <alignment horizontal="centerContinuous"/>
    </xf>
    <xf numFmtId="0" fontId="0" fillId="13" borderId="7" xfId="0" applyFill="1" applyBorder="1" applyAlignment="1">
      <alignment horizontal="centerContinuous"/>
    </xf>
    <xf numFmtId="0" fontId="0" fillId="13" borderId="1" xfId="0" applyFill="1" applyBorder="1" applyAlignment="1">
      <alignment horizontal="centerContinuous"/>
    </xf>
    <xf numFmtId="0" fontId="0" fillId="0" borderId="0" xfId="0" applyAlignment="1">
      <alignment horizontal="right"/>
    </xf>
    <xf numFmtId="165" fontId="0" fillId="0" borderId="5" xfId="7" applyNumberFormat="1" applyFont="1" applyBorder="1"/>
    <xf numFmtId="165" fontId="0" fillId="0" borderId="0" xfId="7" applyNumberFormat="1" applyFont="1"/>
    <xf numFmtId="165" fontId="0" fillId="7" borderId="0" xfId="7" applyNumberFormat="1" applyFont="1" applyFill="1" applyBorder="1"/>
    <xf numFmtId="165" fontId="0" fillId="0" borderId="0" xfId="7" applyNumberFormat="1" applyFont="1" applyBorder="1"/>
    <xf numFmtId="165" fontId="0" fillId="4" borderId="0" xfId="7" applyNumberFormat="1" applyFont="1" applyFill="1" applyBorder="1"/>
    <xf numFmtId="165" fontId="0" fillId="13" borderId="5" xfId="7" applyNumberFormat="1" applyFont="1" applyFill="1" applyBorder="1"/>
    <xf numFmtId="165" fontId="0" fillId="13" borderId="0" xfId="7" applyNumberFormat="1" applyFont="1" applyFill="1" applyBorder="1"/>
    <xf numFmtId="0" fontId="17" fillId="0" borderId="0" xfId="0" applyFont="1" applyAlignment="1">
      <alignment horizontal="centerContinuous"/>
    </xf>
    <xf numFmtId="0" fontId="17" fillId="0" borderId="0" xfId="0" applyFont="1" applyFill="1" applyAlignment="1">
      <alignment horizontal="centerContinuous"/>
    </xf>
    <xf numFmtId="0" fontId="17" fillId="0" borderId="0" xfId="0" applyFont="1" applyBorder="1" applyAlignment="1">
      <alignment horizontal="centerContinuous"/>
    </xf>
    <xf numFmtId="0" fontId="17" fillId="0" borderId="0" xfId="0" applyFont="1"/>
    <xf numFmtId="37" fontId="24" fillId="0" borderId="0" xfId="0" applyNumberFormat="1" applyFont="1" applyAlignment="1" applyProtection="1">
      <alignment horizontal="centerContinuous"/>
    </xf>
    <xf numFmtId="37" fontId="7" fillId="0" borderId="1" xfId="0" applyNumberFormat="1" applyFont="1" applyBorder="1" applyProtection="1"/>
    <xf numFmtId="0" fontId="17" fillId="0" borderId="1" xfId="0" applyFont="1" applyBorder="1"/>
    <xf numFmtId="0" fontId="17" fillId="0" borderId="1" xfId="0" applyFont="1" applyFill="1" applyBorder="1"/>
    <xf numFmtId="0" fontId="17" fillId="0" borderId="0" xfId="0" applyFont="1" applyBorder="1"/>
    <xf numFmtId="0" fontId="17" fillId="0" borderId="0" xfId="0" applyFont="1" applyFill="1"/>
    <xf numFmtId="37" fontId="7" fillId="0" borderId="2" xfId="0" applyNumberFormat="1" applyFont="1" applyBorder="1" applyProtection="1"/>
    <xf numFmtId="37" fontId="7" fillId="0" borderId="2" xfId="0" applyNumberFormat="1" applyFont="1" applyBorder="1" applyAlignment="1" applyProtection="1">
      <alignment horizontal="center"/>
    </xf>
    <xf numFmtId="37" fontId="7" fillId="0" borderId="0" xfId="0" applyNumberFormat="1" applyFont="1" applyAlignment="1" applyProtection="1">
      <alignment horizontal="centerContinuous"/>
    </xf>
    <xf numFmtId="0" fontId="17" fillId="0" borderId="0" xfId="0" applyFont="1" applyFill="1" applyAlignment="1">
      <alignment wrapText="1"/>
    </xf>
    <xf numFmtId="0" fontId="17" fillId="0" borderId="0" xfId="0" applyFont="1" applyAlignment="1">
      <alignment horizontal="center"/>
    </xf>
    <xf numFmtId="0" fontId="17" fillId="0" borderId="0" xfId="0" applyFont="1" applyBorder="1" applyAlignment="1">
      <alignment horizontal="center"/>
    </xf>
    <xf numFmtId="167" fontId="17" fillId="0" borderId="0" xfId="0" applyNumberFormat="1" applyFont="1" applyBorder="1"/>
    <xf numFmtId="0" fontId="17" fillId="0" borderId="0" xfId="0" applyFont="1" applyAlignment="1">
      <alignment vertical="top" wrapText="1"/>
    </xf>
    <xf numFmtId="37" fontId="24" fillId="0" borderId="0" xfId="0" applyNumberFormat="1" applyFont="1" applyAlignment="1" applyProtection="1">
      <alignment horizontal="center"/>
    </xf>
    <xf numFmtId="0" fontId="17" fillId="0" borderId="0" xfId="0" applyFont="1" applyFill="1" applyAlignment="1">
      <alignment horizontal="center"/>
    </xf>
    <xf numFmtId="0" fontId="17" fillId="0" borderId="0" xfId="0" applyFont="1" applyBorder="1" applyAlignment="1">
      <alignment vertical="top"/>
    </xf>
    <xf numFmtId="0" fontId="30" fillId="0" borderId="0" xfId="0" applyFont="1" applyAlignment="1">
      <alignment horizontal="center"/>
    </xf>
    <xf numFmtId="0" fontId="30" fillId="0" borderId="0" xfId="0" applyFont="1"/>
    <xf numFmtId="167" fontId="17" fillId="0" borderId="0" xfId="0" applyNumberFormat="1" applyFont="1" applyFill="1"/>
    <xf numFmtId="167" fontId="17" fillId="0" borderId="0" xfId="0" applyNumberFormat="1" applyFont="1" applyFill="1" applyBorder="1" applyAlignment="1">
      <alignment horizontal="right"/>
    </xf>
    <xf numFmtId="0" fontId="7" fillId="0" borderId="0" xfId="0" applyFont="1" applyFill="1" applyBorder="1"/>
    <xf numFmtId="0" fontId="7" fillId="0" borderId="0" xfId="0" applyFont="1" applyFill="1" applyBorder="1" applyAlignment="1">
      <alignment horizontal="center"/>
    </xf>
    <xf numFmtId="167" fontId="3" fillId="0" borderId="0" xfId="0" applyNumberFormat="1" applyFont="1" applyFill="1" applyBorder="1" applyAlignment="1">
      <alignment horizontal="right"/>
    </xf>
    <xf numFmtId="0" fontId="17" fillId="0" borderId="0" xfId="0" applyFont="1" applyFill="1" applyBorder="1"/>
    <xf numFmtId="2" fontId="3" fillId="0" borderId="0" xfId="0" applyNumberFormat="1" applyFont="1" applyFill="1" applyBorder="1" applyAlignment="1">
      <alignment horizontal="right"/>
    </xf>
    <xf numFmtId="0" fontId="17" fillId="0" borderId="16" xfId="0" applyFont="1" applyFill="1" applyBorder="1"/>
    <xf numFmtId="0" fontId="17" fillId="0" borderId="17" xfId="0" applyFont="1" applyFill="1" applyBorder="1"/>
    <xf numFmtId="9" fontId="17" fillId="0" borderId="15" xfId="0" applyNumberFormat="1" applyFont="1" applyFill="1" applyBorder="1"/>
    <xf numFmtId="9" fontId="17" fillId="0" borderId="17" xfId="0" applyNumberFormat="1" applyFont="1" applyFill="1" applyBorder="1"/>
    <xf numFmtId="9" fontId="17" fillId="0" borderId="18" xfId="0" applyNumberFormat="1" applyFont="1" applyFill="1" applyBorder="1"/>
    <xf numFmtId="0" fontId="17" fillId="0" borderId="19" xfId="0" applyFont="1" applyFill="1" applyBorder="1"/>
    <xf numFmtId="0" fontId="17" fillId="0" borderId="20" xfId="0" applyFont="1" applyFill="1" applyBorder="1"/>
    <xf numFmtId="0" fontId="17" fillId="0" borderId="21" xfId="0" applyFont="1" applyFill="1" applyBorder="1"/>
    <xf numFmtId="0" fontId="17" fillId="0" borderId="22" xfId="0" applyFont="1" applyFill="1" applyBorder="1"/>
    <xf numFmtId="0" fontId="17" fillId="0" borderId="23" xfId="0" applyFont="1" applyFill="1" applyBorder="1"/>
    <xf numFmtId="0" fontId="17" fillId="0" borderId="24" xfId="0" applyFont="1" applyFill="1" applyBorder="1"/>
    <xf numFmtId="0" fontId="17" fillId="0" borderId="15" xfId="0" applyFont="1" applyFill="1" applyBorder="1"/>
    <xf numFmtId="0" fontId="17" fillId="0" borderId="25" xfId="0" applyFont="1" applyFill="1" applyBorder="1"/>
    <xf numFmtId="0" fontId="17" fillId="0" borderId="26" xfId="0" applyFont="1" applyFill="1" applyBorder="1"/>
    <xf numFmtId="0" fontId="17" fillId="0" borderId="27" xfId="0" applyFont="1" applyFill="1" applyBorder="1"/>
    <xf numFmtId="0" fontId="17" fillId="0" borderId="28" xfId="0" applyFont="1" applyFill="1" applyBorder="1"/>
    <xf numFmtId="0" fontId="35" fillId="0" borderId="16" xfId="0" applyFont="1" applyFill="1" applyBorder="1"/>
    <xf numFmtId="166" fontId="17" fillId="0" borderId="16" xfId="0" applyNumberFormat="1" applyFont="1" applyFill="1" applyBorder="1"/>
    <xf numFmtId="166" fontId="17" fillId="0" borderId="15" xfId="0" applyNumberFormat="1" applyFont="1" applyFill="1" applyBorder="1"/>
    <xf numFmtId="166" fontId="17" fillId="0" borderId="29" xfId="0" applyNumberFormat="1" applyFont="1" applyFill="1" applyBorder="1"/>
    <xf numFmtId="166" fontId="17" fillId="0" borderId="30" xfId="0" applyNumberFormat="1" applyFont="1" applyFill="1" applyBorder="1"/>
    <xf numFmtId="0" fontId="35" fillId="0" borderId="26" xfId="0" applyFont="1" applyFill="1" applyBorder="1"/>
    <xf numFmtId="0" fontId="17" fillId="0" borderId="14" xfId="0" applyFont="1" applyFill="1" applyBorder="1"/>
    <xf numFmtId="166" fontId="17" fillId="0" borderId="14" xfId="0" applyNumberFormat="1" applyFont="1" applyFill="1" applyBorder="1"/>
    <xf numFmtId="166" fontId="17" fillId="0" borderId="0" xfId="0" applyNumberFormat="1" applyFont="1" applyFill="1" applyBorder="1"/>
    <xf numFmtId="166" fontId="17" fillId="0" borderId="5" xfId="0" applyNumberFormat="1" applyFont="1" applyFill="1" applyBorder="1"/>
    <xf numFmtId="166" fontId="17" fillId="0" borderId="31" xfId="0" applyNumberFormat="1" applyFont="1" applyFill="1" applyBorder="1"/>
    <xf numFmtId="168" fontId="17" fillId="0" borderId="0" xfId="14" applyNumberFormat="1" applyFont="1" applyFill="1"/>
    <xf numFmtId="0" fontId="35" fillId="0" borderId="33" xfId="0" applyFont="1" applyFill="1" applyBorder="1"/>
    <xf numFmtId="168" fontId="17" fillId="0" borderId="0" xfId="7" applyNumberFormat="1" applyFont="1" applyFill="1"/>
    <xf numFmtId="0" fontId="36" fillId="0" borderId="26" xfId="0" applyFont="1" applyFill="1" applyBorder="1"/>
    <xf numFmtId="0" fontId="0" fillId="0" borderId="16" xfId="0" applyFont="1" applyFill="1" applyBorder="1"/>
    <xf numFmtId="0" fontId="0" fillId="0" borderId="17" xfId="0" applyFont="1" applyFill="1" applyBorder="1"/>
    <xf numFmtId="0" fontId="36" fillId="0" borderId="16" xfId="0" applyFont="1" applyFill="1" applyBorder="1"/>
    <xf numFmtId="0" fontId="36" fillId="0" borderId="33" xfId="0" applyFont="1" applyFill="1" applyBorder="1"/>
    <xf numFmtId="0" fontId="36" fillId="0" borderId="35" xfId="0" applyFont="1" applyFill="1" applyBorder="1"/>
    <xf numFmtId="0" fontId="36" fillId="0" borderId="39" xfId="0" applyFont="1" applyFill="1" applyBorder="1"/>
    <xf numFmtId="0" fontId="17" fillId="0" borderId="33" xfId="0" applyFont="1" applyFill="1" applyBorder="1"/>
    <xf numFmtId="0" fontId="17" fillId="0" borderId="37" xfId="0" applyFont="1" applyFill="1" applyBorder="1"/>
    <xf numFmtId="165" fontId="17" fillId="0" borderId="16" xfId="0" applyNumberFormat="1" applyFont="1" applyFill="1" applyBorder="1"/>
    <xf numFmtId="165" fontId="17" fillId="0" borderId="15" xfId="0" applyNumberFormat="1" applyFont="1" applyFill="1" applyBorder="1"/>
    <xf numFmtId="165" fontId="17" fillId="0" borderId="24" xfId="0" applyNumberFormat="1" applyFont="1" applyFill="1" applyBorder="1"/>
    <xf numFmtId="165" fontId="17" fillId="0" borderId="14" xfId="0" applyNumberFormat="1" applyFont="1" applyFill="1" applyBorder="1"/>
    <xf numFmtId="165" fontId="17" fillId="0" borderId="0" xfId="0" applyNumberFormat="1" applyFont="1" applyFill="1"/>
    <xf numFmtId="165" fontId="17" fillId="0" borderId="32" xfId="0" applyNumberFormat="1" applyFont="1" applyFill="1" applyBorder="1"/>
    <xf numFmtId="165" fontId="17" fillId="0" borderId="29" xfId="0" applyNumberFormat="1" applyFont="1" applyFill="1" applyBorder="1"/>
    <xf numFmtId="165" fontId="17" fillId="0" borderId="0" xfId="0" applyNumberFormat="1" applyFont="1" applyFill="1" applyBorder="1"/>
    <xf numFmtId="165" fontId="17" fillId="0" borderId="5" xfId="0" applyNumberFormat="1" applyFont="1" applyFill="1" applyBorder="1"/>
    <xf numFmtId="165" fontId="17" fillId="0" borderId="33" xfId="0" applyNumberFormat="1" applyFont="1" applyFill="1" applyBorder="1"/>
    <xf numFmtId="165" fontId="17" fillId="0" borderId="1" xfId="0" applyNumberFormat="1" applyFont="1" applyFill="1" applyBorder="1"/>
    <xf numFmtId="165" fontId="17" fillId="0" borderId="7" xfId="0" applyNumberFormat="1" applyFont="1" applyFill="1" applyBorder="1"/>
    <xf numFmtId="165" fontId="17" fillId="0" borderId="34" xfId="0" applyNumberFormat="1" applyFont="1" applyFill="1" applyBorder="1"/>
    <xf numFmtId="165" fontId="17" fillId="0" borderId="37" xfId="0" applyNumberFormat="1" applyFont="1" applyFill="1" applyBorder="1"/>
    <xf numFmtId="165" fontId="17" fillId="0" borderId="36" xfId="0" applyNumberFormat="1" applyFont="1" applyFill="1" applyBorder="1"/>
    <xf numFmtId="165" fontId="17" fillId="0" borderId="38" xfId="0" applyNumberFormat="1" applyFont="1" applyFill="1" applyBorder="1"/>
    <xf numFmtId="168" fontId="12" fillId="8" borderId="0" xfId="7" applyNumberFormat="1" applyFont="1" applyFill="1" applyBorder="1" applyAlignment="1">
      <alignment horizontal="right"/>
    </xf>
    <xf numFmtId="0" fontId="25" fillId="0" borderId="3" xfId="0" applyFont="1" applyFill="1" applyBorder="1" applyAlignment="1">
      <alignment horizontal="center"/>
    </xf>
    <xf numFmtId="37" fontId="25" fillId="0" borderId="2" xfId="0" applyNumberFormat="1" applyFont="1" applyBorder="1" applyProtection="1"/>
    <xf numFmtId="0" fontId="25" fillId="0" borderId="3" xfId="0" applyFont="1" applyBorder="1" applyAlignment="1">
      <alignment horizontal="centerContinuous"/>
    </xf>
    <xf numFmtId="0" fontId="25" fillId="0" borderId="2" xfId="0" applyFont="1" applyBorder="1" applyAlignment="1">
      <alignment horizontal="centerContinuous"/>
    </xf>
    <xf numFmtId="37" fontId="25" fillId="0" borderId="2" xfId="0" applyNumberFormat="1" applyFont="1" applyBorder="1" applyAlignment="1" applyProtection="1">
      <alignment horizontal="center"/>
    </xf>
    <xf numFmtId="0" fontId="25" fillId="0" borderId="2" xfId="0" applyFont="1" applyBorder="1" applyAlignment="1">
      <alignment horizontal="center"/>
    </xf>
    <xf numFmtId="0" fontId="25" fillId="0" borderId="9" xfId="0" applyFont="1" applyFill="1" applyBorder="1" applyAlignment="1">
      <alignment horizontal="center"/>
    </xf>
    <xf numFmtId="0" fontId="25" fillId="0" borderId="3" xfId="0" applyFont="1" applyBorder="1" applyAlignment="1">
      <alignment horizontal="center" wrapText="1"/>
    </xf>
    <xf numFmtId="0" fontId="25" fillId="0" borderId="3" xfId="0" applyFont="1" applyBorder="1" applyAlignment="1">
      <alignment horizontal="center"/>
    </xf>
    <xf numFmtId="167" fontId="37" fillId="0" borderId="0" xfId="0" applyNumberFormat="1" applyFont="1" applyAlignment="1">
      <alignment horizontal="center"/>
    </xf>
    <xf numFmtId="167" fontId="37" fillId="0" borderId="10" xfId="0" applyNumberFormat="1" applyFont="1" applyFill="1" applyBorder="1" applyAlignment="1">
      <alignment horizontal="center"/>
    </xf>
    <xf numFmtId="167" fontId="37" fillId="0" borderId="5" xfId="0" applyNumberFormat="1" applyFont="1" applyBorder="1" applyAlignment="1">
      <alignment horizontal="center"/>
    </xf>
    <xf numFmtId="167" fontId="37" fillId="0" borderId="5" xfId="0" applyNumberFormat="1" applyFont="1" applyBorder="1"/>
    <xf numFmtId="167" fontId="37" fillId="0" borderId="0" xfId="0" applyNumberFormat="1" applyFont="1"/>
    <xf numFmtId="167" fontId="37" fillId="0" borderId="5" xfId="0" applyNumberFormat="1" applyFont="1" applyFill="1" applyBorder="1" applyAlignment="1">
      <alignment horizontal="center"/>
    </xf>
    <xf numFmtId="167" fontId="37" fillId="0" borderId="1" xfId="0" applyNumberFormat="1" applyFont="1" applyBorder="1" applyAlignment="1">
      <alignment horizontal="center"/>
    </xf>
    <xf numFmtId="167" fontId="37" fillId="0" borderId="7" xfId="0" applyNumberFormat="1" applyFont="1" applyFill="1" applyBorder="1" applyAlignment="1">
      <alignment horizontal="center"/>
    </xf>
    <xf numFmtId="167" fontId="37" fillId="0" borderId="21" xfId="0" applyNumberFormat="1" applyFont="1" applyBorder="1" applyAlignment="1">
      <alignment horizontal="center"/>
    </xf>
    <xf numFmtId="167" fontId="37" fillId="0" borderId="22" xfId="0" applyNumberFormat="1" applyFont="1" applyFill="1" applyBorder="1" applyAlignment="1">
      <alignment horizontal="center"/>
    </xf>
    <xf numFmtId="167" fontId="37" fillId="0" borderId="0" xfId="0" applyNumberFormat="1" applyFont="1" applyBorder="1" applyAlignment="1">
      <alignment horizontal="center"/>
    </xf>
    <xf numFmtId="167" fontId="37" fillId="0" borderId="0" xfId="0" applyNumberFormat="1" applyFont="1" applyFill="1" applyAlignment="1">
      <alignment horizontal="center"/>
    </xf>
    <xf numFmtId="49" fontId="38" fillId="20" borderId="40" xfId="15" applyNumberFormat="1" applyFont="1" applyFill="1" applyBorder="1" applyAlignment="1" applyProtection="1">
      <alignment horizontal="center"/>
      <protection locked="0"/>
    </xf>
    <xf numFmtId="49" fontId="38" fillId="20" borderId="41" xfId="15" applyNumberFormat="1" applyFont="1" applyFill="1" applyBorder="1" applyAlignment="1" applyProtection="1">
      <alignment horizontal="left"/>
      <protection locked="0"/>
    </xf>
    <xf numFmtId="1" fontId="38" fillId="20" borderId="41" xfId="15" applyNumberFormat="1" applyFont="1" applyFill="1" applyBorder="1" applyAlignment="1" applyProtection="1">
      <alignment horizontal="center"/>
      <protection locked="0"/>
    </xf>
    <xf numFmtId="1" fontId="38" fillId="20" borderId="42" xfId="15" applyNumberFormat="1" applyFont="1" applyFill="1" applyBorder="1" applyAlignment="1" applyProtection="1">
      <alignment horizontal="center"/>
      <protection locked="0"/>
    </xf>
    <xf numFmtId="0" fontId="39" fillId="21" borderId="43" xfId="4" applyFont="1" applyFill="1" applyBorder="1" applyAlignment="1" applyProtection="1">
      <alignment horizontal="center" wrapText="1"/>
    </xf>
    <xf numFmtId="0" fontId="39" fillId="22" borderId="7" xfId="4" applyFont="1" applyFill="1" applyBorder="1" applyAlignment="1" applyProtection="1">
      <alignment horizontal="center" wrapText="1"/>
    </xf>
    <xf numFmtId="0" fontId="7" fillId="23" borderId="13" xfId="4" applyFont="1" applyFill="1" applyBorder="1" applyAlignment="1" applyProtection="1">
      <alignment horizontal="center" wrapText="1"/>
      <protection locked="0"/>
    </xf>
    <xf numFmtId="0" fontId="7" fillId="0" borderId="13" xfId="4" applyFont="1" applyFill="1" applyBorder="1" applyAlignment="1" applyProtection="1">
      <alignment horizontal="center" wrapText="1"/>
      <protection locked="0"/>
    </xf>
    <xf numFmtId="0" fontId="7" fillId="0" borderId="7" xfId="4" applyFont="1" applyFill="1" applyBorder="1" applyAlignment="1" applyProtection="1">
      <alignment horizontal="center" wrapText="1"/>
      <protection locked="0"/>
    </xf>
    <xf numFmtId="0" fontId="7" fillId="23" borderId="43" xfId="4" applyFont="1" applyFill="1" applyBorder="1" applyAlignment="1" applyProtection="1">
      <alignment horizontal="center" wrapText="1"/>
      <protection locked="0"/>
    </xf>
    <xf numFmtId="0" fontId="39" fillId="21" borderId="44" xfId="4" applyFont="1" applyFill="1" applyBorder="1" applyAlignment="1" applyProtection="1">
      <alignment horizontal="center" wrapText="1"/>
    </xf>
    <xf numFmtId="0" fontId="7" fillId="0" borderId="45" xfId="4" applyFont="1" applyFill="1" applyBorder="1" applyAlignment="1" applyProtection="1">
      <alignment horizontal="center" wrapText="1"/>
      <protection locked="0"/>
    </xf>
    <xf numFmtId="0" fontId="7" fillId="0" borderId="0" xfId="2" applyFont="1" applyFill="1" applyProtection="1">
      <protection locked="0"/>
    </xf>
    <xf numFmtId="0" fontId="39" fillId="0" borderId="7" xfId="4" applyFont="1" applyFill="1" applyBorder="1" applyAlignment="1">
      <alignment horizontal="centerContinuous" wrapText="1"/>
    </xf>
    <xf numFmtId="0" fontId="39" fillId="0" borderId="8" xfId="4" applyFont="1" applyFill="1" applyBorder="1" applyAlignment="1">
      <alignment horizontal="centerContinuous" wrapText="1"/>
    </xf>
    <xf numFmtId="0" fontId="8" fillId="0" borderId="8" xfId="4" applyFont="1" applyFill="1" applyBorder="1" applyAlignment="1">
      <alignment horizontal="centerContinuous" wrapText="1"/>
    </xf>
    <xf numFmtId="0" fontId="7" fillId="0" borderId="7" xfId="4" applyFont="1" applyFill="1" applyBorder="1" applyAlignment="1">
      <alignment horizontal="centerContinuous" wrapText="1"/>
    </xf>
    <xf numFmtId="0" fontId="3" fillId="0" borderId="5" xfId="4" applyFont="1" applyFill="1" applyBorder="1" applyAlignment="1"/>
    <xf numFmtId="0" fontId="8" fillId="0" borderId="6" xfId="4" applyFont="1" applyFill="1" applyBorder="1" applyAlignment="1">
      <alignment horizontal="centerContinuous"/>
    </xf>
    <xf numFmtId="0" fontId="3" fillId="0" borderId="1" xfId="4" applyFont="1" applyFill="1" applyBorder="1" applyAlignment="1">
      <alignment horizontal="centerContinuous"/>
    </xf>
    <xf numFmtId="0" fontId="3" fillId="0" borderId="8" xfId="4" applyFont="1" applyFill="1" applyBorder="1" applyAlignment="1">
      <alignment horizontal="centerContinuous"/>
    </xf>
    <xf numFmtId="0" fontId="7" fillId="0" borderId="8" xfId="4" applyFont="1" applyBorder="1" applyAlignment="1">
      <alignment horizontal="centerContinuous" wrapText="1"/>
    </xf>
    <xf numFmtId="0" fontId="7" fillId="0" borderId="3" xfId="5" applyFont="1" applyFill="1" applyBorder="1" applyAlignment="1">
      <alignment horizontal="centerContinuous"/>
    </xf>
    <xf numFmtId="0" fontId="3" fillId="0" borderId="2" xfId="4" applyFont="1" applyFill="1" applyBorder="1" applyAlignment="1">
      <alignment horizontal="centerContinuous"/>
    </xf>
    <xf numFmtId="0" fontId="7" fillId="0" borderId="2" xfId="4" applyFont="1" applyFill="1" applyBorder="1" applyAlignment="1">
      <alignment horizontal="centerContinuous"/>
    </xf>
    <xf numFmtId="0" fontId="3" fillId="0" borderId="2" xfId="2" applyFont="1" applyBorder="1" applyAlignment="1">
      <alignment horizontal="centerContinuous"/>
    </xf>
    <xf numFmtId="0" fontId="7" fillId="0" borderId="13" xfId="4" applyFont="1" applyFill="1" applyBorder="1" applyAlignment="1">
      <alignment horizontal="center" wrapText="1"/>
    </xf>
    <xf numFmtId="0" fontId="7" fillId="0" borderId="13" xfId="4" applyFont="1" applyFill="1" applyBorder="1" applyAlignment="1">
      <alignment horizontal="centerContinuous" wrapText="1"/>
    </xf>
    <xf numFmtId="0" fontId="8" fillId="0" borderId="9" xfId="4" applyFont="1" applyFill="1" applyBorder="1" applyAlignment="1">
      <alignment horizontal="centerContinuous" wrapText="1"/>
    </xf>
    <xf numFmtId="0" fontId="8" fillId="0" borderId="4" xfId="4" applyFont="1" applyFill="1" applyBorder="1" applyAlignment="1">
      <alignment horizontal="centerContinuous" wrapText="1"/>
    </xf>
    <xf numFmtId="0" fontId="3" fillId="0" borderId="22" xfId="4" applyFont="1" applyFill="1" applyBorder="1" applyAlignment="1"/>
    <xf numFmtId="0" fontId="7" fillId="0" borderId="9" xfId="4" applyFont="1" applyFill="1" applyBorder="1" applyAlignment="1">
      <alignment horizontal="center" wrapText="1"/>
    </xf>
    <xf numFmtId="49" fontId="3" fillId="7" borderId="0" xfId="6" applyNumberFormat="1" applyFont="1" applyFill="1" applyBorder="1" applyAlignment="1" applyProtection="1">
      <alignment horizontal="center"/>
      <protection locked="0"/>
    </xf>
    <xf numFmtId="49" fontId="3" fillId="7" borderId="0" xfId="6" applyNumberFormat="1" applyFont="1" applyFill="1" applyBorder="1" applyAlignment="1" applyProtection="1">
      <alignment horizontal="left"/>
      <protection locked="0"/>
    </xf>
    <xf numFmtId="1" fontId="3" fillId="7" borderId="0" xfId="12" applyNumberFormat="1" applyFont="1" applyFill="1" applyBorder="1" applyAlignment="1" applyProtection="1">
      <alignment horizontal="center"/>
      <protection locked="0"/>
    </xf>
    <xf numFmtId="3" fontId="34" fillId="21" borderId="46" xfId="7" applyNumberFormat="1" applyFont="1" applyFill="1" applyBorder="1" applyAlignment="1" applyProtection="1"/>
    <xf numFmtId="3" fontId="39" fillId="22" borderId="5" xfId="7" applyNumberFormat="1" applyFont="1" applyFill="1" applyBorder="1" applyAlignment="1" applyProtection="1"/>
    <xf numFmtId="3" fontId="3" fillId="23" borderId="10" xfId="7" applyNumberFormat="1" applyFont="1" applyFill="1" applyBorder="1" applyAlignment="1" applyProtection="1">
      <alignment horizontal="right"/>
      <protection locked="0"/>
    </xf>
    <xf numFmtId="3" fontId="7" fillId="0" borderId="10" xfId="7" applyNumberFormat="1" applyFont="1" applyFill="1" applyBorder="1" applyAlignment="1" applyProtection="1">
      <alignment horizontal="right"/>
      <protection locked="0"/>
    </xf>
    <xf numFmtId="3" fontId="7" fillId="0" borderId="5" xfId="7" applyNumberFormat="1" applyFont="1" applyFill="1" applyBorder="1" applyAlignment="1" applyProtection="1">
      <alignment horizontal="right"/>
      <protection locked="0"/>
    </xf>
    <xf numFmtId="3" fontId="3" fillId="23" borderId="47" xfId="16" applyNumberFormat="1" applyFont="1" applyFill="1" applyBorder="1" applyAlignment="1" applyProtection="1">
      <alignment horizontal="right"/>
      <protection locked="0"/>
    </xf>
    <xf numFmtId="3" fontId="3" fillId="23" borderId="47" xfId="7" applyNumberFormat="1" applyFont="1" applyFill="1" applyBorder="1" applyAlignment="1" applyProtection="1">
      <alignment horizontal="right"/>
      <protection locked="0"/>
    </xf>
    <xf numFmtId="3" fontId="34" fillId="21" borderId="48" xfId="7" applyNumberFormat="1" applyFont="1" applyFill="1" applyBorder="1" applyAlignment="1" applyProtection="1"/>
    <xf numFmtId="3" fontId="39" fillId="22" borderId="10" xfId="7" applyNumberFormat="1" applyFont="1" applyFill="1" applyBorder="1" applyAlignment="1" applyProtection="1"/>
    <xf numFmtId="3" fontId="3" fillId="23" borderId="5" xfId="7" applyNumberFormat="1" applyFont="1" applyFill="1" applyBorder="1" applyAlignment="1" applyProtection="1">
      <alignment horizontal="right"/>
      <protection locked="0"/>
    </xf>
    <xf numFmtId="3" fontId="7" fillId="0" borderId="49" xfId="7" applyNumberFormat="1" applyFont="1" applyFill="1" applyBorder="1" applyAlignment="1" applyProtection="1">
      <alignment horizontal="right"/>
      <protection locked="0"/>
    </xf>
    <xf numFmtId="0" fontId="3" fillId="7" borderId="0" xfId="6" applyNumberFormat="1" applyFont="1" applyFill="1" applyBorder="1" applyAlignment="1" applyProtection="1">
      <alignment horizontal="center"/>
      <protection locked="0"/>
    </xf>
    <xf numFmtId="3" fontId="3" fillId="23" borderId="10" xfId="16" applyNumberFormat="1" applyFont="1" applyFill="1" applyBorder="1" applyAlignment="1" applyProtection="1">
      <alignment horizontal="right"/>
      <protection locked="0"/>
    </xf>
    <xf numFmtId="3" fontId="7" fillId="0" borderId="10" xfId="16" applyNumberFormat="1" applyFont="1" applyFill="1" applyBorder="1" applyAlignment="1" applyProtection="1">
      <alignment horizontal="right"/>
      <protection locked="0"/>
    </xf>
    <xf numFmtId="3" fontId="7" fillId="0" borderId="5" xfId="16" applyNumberFormat="1" applyFont="1" applyFill="1" applyBorder="1" applyAlignment="1" applyProtection="1">
      <alignment horizontal="right"/>
      <protection locked="0"/>
    </xf>
    <xf numFmtId="3" fontId="3" fillId="23" borderId="5" xfId="16" applyNumberFormat="1" applyFont="1" applyFill="1" applyBorder="1" applyAlignment="1" applyProtection="1">
      <alignment horizontal="right"/>
      <protection locked="0"/>
    </xf>
    <xf numFmtId="3" fontId="7" fillId="0" borderId="49" xfId="16" applyNumberFormat="1" applyFont="1" applyFill="1" applyBorder="1" applyAlignment="1" applyProtection="1">
      <alignment horizontal="right"/>
      <protection locked="0"/>
    </xf>
    <xf numFmtId="3" fontId="3" fillId="8" borderId="10" xfId="16" applyNumberFormat="1" applyFont="1" applyFill="1" applyBorder="1" applyAlignment="1" applyProtection="1">
      <alignment horizontal="right"/>
      <protection locked="0"/>
    </xf>
    <xf numFmtId="49" fontId="3" fillId="4" borderId="0" xfId="6" applyNumberFormat="1" applyFont="1" applyFill="1" applyBorder="1" applyAlignment="1" applyProtection="1">
      <alignment horizontal="center"/>
      <protection locked="0"/>
    </xf>
    <xf numFmtId="49" fontId="3" fillId="4" borderId="0" xfId="6" applyNumberFormat="1" applyFont="1" applyFill="1" applyBorder="1" applyAlignment="1" applyProtection="1">
      <alignment horizontal="left"/>
      <protection locked="0"/>
    </xf>
    <xf numFmtId="1" fontId="3" fillId="4" borderId="0" xfId="6" applyNumberFormat="1" applyFont="1" applyFill="1" applyBorder="1" applyAlignment="1" applyProtection="1">
      <alignment horizontal="center"/>
      <protection locked="0"/>
    </xf>
    <xf numFmtId="3" fontId="3" fillId="23" borderId="10" xfId="17" applyNumberFormat="1" applyFont="1" applyFill="1" applyBorder="1" applyAlignment="1" applyProtection="1">
      <alignment horizontal="right"/>
      <protection locked="0"/>
    </xf>
    <xf numFmtId="164" fontId="0" fillId="0" borderId="0" xfId="0" applyNumberFormat="1" applyProtection="1">
      <protection locked="0"/>
    </xf>
    <xf numFmtId="3" fontId="3" fillId="23" borderId="47" xfId="17" applyNumberFormat="1" applyFont="1" applyFill="1" applyBorder="1" applyAlignment="1" applyProtection="1">
      <alignment horizontal="right"/>
      <protection locked="0"/>
    </xf>
    <xf numFmtId="3" fontId="7" fillId="0" borderId="10" xfId="17" applyNumberFormat="1" applyFont="1" applyFill="1" applyBorder="1" applyAlignment="1" applyProtection="1">
      <alignment horizontal="right"/>
      <protection locked="0"/>
    </xf>
    <xf numFmtId="3" fontId="7" fillId="0" borderId="5" xfId="17" applyNumberFormat="1" applyFont="1" applyFill="1" applyBorder="1" applyAlignment="1" applyProtection="1">
      <alignment horizontal="right"/>
      <protection locked="0"/>
    </xf>
    <xf numFmtId="3" fontId="3" fillId="23" borderId="5" xfId="17" applyNumberFormat="1" applyFont="1" applyFill="1" applyBorder="1" applyAlignment="1" applyProtection="1">
      <alignment horizontal="right"/>
      <protection locked="0"/>
    </xf>
    <xf numFmtId="3" fontId="7" fillId="0" borderId="49" xfId="17" applyNumberFormat="1" applyFont="1" applyFill="1" applyBorder="1" applyAlignment="1" applyProtection="1">
      <alignment horizontal="right"/>
      <protection locked="0"/>
    </xf>
    <xf numFmtId="0" fontId="3" fillId="0" borderId="0" xfId="2" applyFont="1" applyFill="1" applyBorder="1" applyProtection="1">
      <protection locked="0"/>
    </xf>
    <xf numFmtId="49" fontId="3" fillId="4" borderId="0" xfId="8" applyNumberFormat="1" applyFont="1" applyFill="1" applyBorder="1" applyAlignment="1" applyProtection="1">
      <alignment horizontal="center"/>
      <protection locked="0"/>
    </xf>
    <xf numFmtId="49" fontId="3" fillId="4" borderId="0" xfId="8" applyNumberFormat="1" applyFont="1" applyFill="1" applyBorder="1" applyAlignment="1" applyProtection="1">
      <alignment horizontal="left"/>
      <protection locked="0"/>
    </xf>
    <xf numFmtId="1" fontId="3" fillId="10" borderId="0" xfId="13" applyNumberFormat="1" applyFont="1" applyFill="1" applyBorder="1" applyAlignment="1" applyProtection="1">
      <alignment horizontal="center"/>
      <protection locked="0"/>
    </xf>
    <xf numFmtId="49" fontId="3" fillId="11" borderId="0" xfId="6" applyNumberFormat="1" applyFont="1" applyFill="1" applyBorder="1" applyAlignment="1" applyProtection="1">
      <alignment horizontal="center"/>
      <protection locked="0"/>
    </xf>
    <xf numFmtId="49" fontId="3" fillId="11" borderId="0" xfId="6" applyNumberFormat="1" applyFont="1" applyFill="1" applyBorder="1" applyAlignment="1" applyProtection="1">
      <alignment horizontal="left"/>
      <protection locked="0"/>
    </xf>
    <xf numFmtId="1" fontId="3" fillId="11" borderId="0" xfId="6" applyNumberFormat="1" applyFont="1" applyFill="1" applyBorder="1" applyAlignment="1" applyProtection="1">
      <alignment horizontal="center"/>
      <protection locked="0"/>
    </xf>
    <xf numFmtId="3" fontId="3" fillId="23" borderId="10" xfId="16" applyNumberFormat="1" applyFont="1" applyFill="1" applyBorder="1" applyProtection="1">
      <protection locked="0"/>
    </xf>
    <xf numFmtId="3" fontId="7" fillId="0" borderId="10" xfId="16" applyNumberFormat="1" applyFont="1" applyFill="1" applyBorder="1" applyProtection="1">
      <protection locked="0"/>
    </xf>
    <xf numFmtId="3" fontId="7" fillId="0" borderId="5" xfId="16" applyNumberFormat="1" applyFont="1" applyFill="1" applyBorder="1" applyProtection="1">
      <protection locked="0"/>
    </xf>
    <xf numFmtId="3" fontId="3" fillId="23" borderId="47" xfId="16" applyNumberFormat="1" applyFont="1" applyFill="1" applyBorder="1" applyProtection="1">
      <protection locked="0"/>
    </xf>
    <xf numFmtId="3" fontId="3" fillId="23" borderId="5" xfId="16" applyNumberFormat="1" applyFont="1" applyFill="1" applyBorder="1" applyProtection="1">
      <protection locked="0"/>
    </xf>
    <xf numFmtId="3" fontId="7" fillId="0" borderId="49" xfId="16" applyNumberFormat="1" applyFont="1" applyFill="1" applyBorder="1" applyProtection="1">
      <protection locked="0"/>
    </xf>
    <xf numFmtId="49" fontId="3" fillId="9" borderId="0" xfId="6" applyNumberFormat="1" applyFont="1" applyFill="1" applyBorder="1" applyAlignment="1" applyProtection="1">
      <alignment horizontal="center"/>
      <protection locked="0"/>
    </xf>
    <xf numFmtId="49" fontId="3" fillId="9" borderId="0" xfId="6" applyNumberFormat="1" applyFont="1" applyFill="1" applyBorder="1" applyAlignment="1" applyProtection="1">
      <alignment horizontal="left"/>
      <protection locked="0"/>
    </xf>
    <xf numFmtId="1" fontId="3" fillId="9" borderId="0" xfId="6" applyNumberFormat="1" applyFont="1" applyFill="1" applyBorder="1" applyAlignment="1" applyProtection="1">
      <alignment horizontal="center"/>
      <protection locked="0"/>
    </xf>
    <xf numFmtId="3" fontId="3" fillId="9" borderId="0" xfId="8" applyFont="1" applyFill="1" applyBorder="1" applyAlignment="1" applyProtection="1">
      <protection locked="0"/>
    </xf>
    <xf numFmtId="49" fontId="3" fillId="9" borderId="0" xfId="8" applyNumberFormat="1" applyFont="1" applyFill="1" applyBorder="1" applyAlignment="1" applyProtection="1">
      <alignment horizontal="center"/>
      <protection locked="0"/>
    </xf>
    <xf numFmtId="49" fontId="3" fillId="7" borderId="5" xfId="19" applyNumberFormat="1" applyFont="1" applyFill="1" applyBorder="1" applyAlignment="1" applyProtection="1">
      <alignment horizontal="center"/>
      <protection locked="0"/>
    </xf>
    <xf numFmtId="49" fontId="3" fillId="7" borderId="0" xfId="19" applyNumberFormat="1" applyFont="1" applyFill="1" applyBorder="1" applyAlignment="1" applyProtection="1">
      <alignment horizontal="left"/>
      <protection locked="0"/>
    </xf>
    <xf numFmtId="1" fontId="3" fillId="7" borderId="0" xfId="19" applyNumberFormat="1" applyFont="1" applyFill="1" applyBorder="1" applyAlignment="1" applyProtection="1">
      <alignment horizontal="center"/>
      <protection locked="0"/>
    </xf>
    <xf numFmtId="1" fontId="3" fillId="7" borderId="0" xfId="20" applyNumberFormat="1" applyFont="1" applyFill="1" applyBorder="1" applyAlignment="1" applyProtection="1">
      <alignment horizontal="center"/>
      <protection locked="0"/>
    </xf>
    <xf numFmtId="165" fontId="1" fillId="0" borderId="0" xfId="14" applyNumberFormat="1" applyFont="1"/>
    <xf numFmtId="37" fontId="1" fillId="0" borderId="0" xfId="14" applyNumberFormat="1" applyFont="1"/>
    <xf numFmtId="0" fontId="17" fillId="0" borderId="0" xfId="21" applyFont="1" applyProtection="1">
      <protection locked="0"/>
    </xf>
    <xf numFmtId="49" fontId="3" fillId="7" borderId="0" xfId="11" applyNumberFormat="1" applyFont="1" applyFill="1" applyBorder="1" applyAlignment="1" applyProtection="1">
      <alignment horizontal="left"/>
      <protection locked="0"/>
    </xf>
    <xf numFmtId="49" fontId="3" fillId="7" borderId="0" xfId="19" applyNumberFormat="1" applyFont="1" applyFill="1" applyBorder="1" applyAlignment="1" applyProtection="1">
      <alignment horizontal="center"/>
      <protection locked="0"/>
    </xf>
    <xf numFmtId="49" fontId="3" fillId="7" borderId="5" xfId="8" applyNumberFormat="1" applyFont="1" applyFill="1" applyBorder="1" applyAlignment="1" applyProtection="1">
      <alignment horizontal="center"/>
      <protection locked="0"/>
    </xf>
    <xf numFmtId="3" fontId="41" fillId="8" borderId="0" xfId="8" applyFont="1" applyFill="1" applyBorder="1" applyAlignment="1" applyProtection="1">
      <protection locked="0"/>
    </xf>
    <xf numFmtId="1" fontId="3" fillId="7" borderId="0" xfId="8" applyNumberFormat="1" applyFont="1" applyFill="1" applyBorder="1" applyAlignment="1" applyProtection="1">
      <alignment horizontal="center"/>
      <protection locked="0"/>
    </xf>
    <xf numFmtId="1" fontId="3" fillId="12" borderId="0" xfId="9" applyNumberFormat="1" applyFont="1" applyFill="1" applyBorder="1" applyAlignment="1" applyProtection="1">
      <alignment horizontal="center"/>
      <protection locked="0"/>
    </xf>
    <xf numFmtId="49" fontId="41" fillId="8" borderId="0" xfId="19" applyNumberFormat="1" applyFont="1" applyFill="1" applyBorder="1" applyAlignment="1" applyProtection="1">
      <alignment horizontal="left"/>
      <protection locked="0"/>
    </xf>
    <xf numFmtId="3" fontId="39" fillId="8" borderId="46" xfId="7" applyNumberFormat="1" applyFont="1" applyFill="1" applyBorder="1" applyAlignment="1" applyProtection="1"/>
    <xf numFmtId="49" fontId="41" fillId="8" borderId="0" xfId="11" applyNumberFormat="1" applyFont="1" applyFill="1" applyBorder="1" applyAlignment="1" applyProtection="1">
      <alignment horizontal="left"/>
      <protection locked="0"/>
    </xf>
    <xf numFmtId="3" fontId="3" fillId="7" borderId="0" xfId="8" applyFont="1" applyFill="1" applyBorder="1" applyAlignment="1" applyProtection="1">
      <protection locked="0"/>
    </xf>
    <xf numFmtId="0" fontId="7" fillId="0" borderId="0" xfId="2" applyFont="1" applyFill="1" applyBorder="1" applyProtection="1">
      <protection locked="0"/>
    </xf>
    <xf numFmtId="49" fontId="3" fillId="4" borderId="0" xfId="11" applyNumberFormat="1" applyFont="1" applyFill="1" applyBorder="1" applyAlignment="1" applyProtection="1">
      <alignment horizontal="center"/>
      <protection locked="0"/>
    </xf>
    <xf numFmtId="49" fontId="3" fillId="4" borderId="0" xfId="11" applyNumberFormat="1" applyFont="1" applyFill="1" applyBorder="1" applyAlignment="1" applyProtection="1">
      <alignment horizontal="left"/>
      <protection locked="0"/>
    </xf>
    <xf numFmtId="49" fontId="3" fillId="13" borderId="5" xfId="11" applyNumberFormat="1" applyFont="1" applyFill="1" applyBorder="1" applyAlignment="1" applyProtection="1">
      <alignment horizontal="center"/>
      <protection locked="0"/>
    </xf>
    <xf numFmtId="49" fontId="3" fillId="13" borderId="0" xfId="11" applyNumberFormat="1" applyFont="1" applyFill="1" applyBorder="1" applyAlignment="1" applyProtection="1">
      <alignment horizontal="left"/>
      <protection locked="0"/>
    </xf>
    <xf numFmtId="49" fontId="3" fillId="13" borderId="0" xfId="11" applyNumberFormat="1" applyFont="1" applyFill="1" applyBorder="1" applyAlignment="1" applyProtection="1">
      <alignment horizontal="center"/>
      <protection locked="0"/>
    </xf>
    <xf numFmtId="1" fontId="3" fillId="13" borderId="0" xfId="6" applyNumberFormat="1" applyFont="1" applyFill="1" applyBorder="1" applyAlignment="1" applyProtection="1">
      <alignment horizontal="center"/>
      <protection locked="0"/>
    </xf>
    <xf numFmtId="3" fontId="3" fillId="18" borderId="10" xfId="16" applyNumberFormat="1" applyFont="1" applyFill="1" applyBorder="1" applyAlignment="1" applyProtection="1">
      <alignment horizontal="right"/>
      <protection locked="0"/>
    </xf>
    <xf numFmtId="3" fontId="3" fillId="18" borderId="47" xfId="16" applyNumberFormat="1" applyFont="1" applyFill="1" applyBorder="1" applyAlignment="1" applyProtection="1">
      <alignment horizontal="right"/>
      <protection locked="0"/>
    </xf>
    <xf numFmtId="3" fontId="3" fillId="18" borderId="5" xfId="16" applyNumberFormat="1" applyFont="1" applyFill="1" applyBorder="1" applyAlignment="1" applyProtection="1">
      <alignment horizontal="right"/>
      <protection locked="0"/>
    </xf>
    <xf numFmtId="49" fontId="3" fillId="13" borderId="5" xfId="8" applyNumberFormat="1" applyFont="1" applyFill="1" applyBorder="1" applyAlignment="1" applyProtection="1">
      <alignment horizontal="center"/>
      <protection locked="0"/>
    </xf>
    <xf numFmtId="49" fontId="3" fillId="13" borderId="0" xfId="8" applyNumberFormat="1" applyFont="1" applyFill="1" applyBorder="1" applyAlignment="1" applyProtection="1">
      <alignment horizontal="center"/>
      <protection locked="0"/>
    </xf>
    <xf numFmtId="1" fontId="3" fillId="14" borderId="0" xfId="13" applyNumberFormat="1" applyFont="1" applyFill="1" applyBorder="1" applyAlignment="1" applyProtection="1">
      <alignment horizontal="center"/>
      <protection locked="0"/>
    </xf>
    <xf numFmtId="49" fontId="3" fillId="11" borderId="5" xfId="11" applyNumberFormat="1" applyFont="1" applyFill="1" applyBorder="1" applyAlignment="1" applyProtection="1">
      <alignment horizontal="center"/>
      <protection locked="0"/>
    </xf>
    <xf numFmtId="49" fontId="3" fillId="11" borderId="0" xfId="11" applyNumberFormat="1" applyFont="1" applyFill="1" applyBorder="1" applyAlignment="1" applyProtection="1">
      <alignment horizontal="left"/>
      <protection locked="0"/>
    </xf>
    <xf numFmtId="49" fontId="3" fillId="11" borderId="0" xfId="11" applyNumberFormat="1" applyFont="1" applyFill="1" applyBorder="1" applyAlignment="1" applyProtection="1">
      <alignment horizontal="center"/>
      <protection locked="0"/>
    </xf>
    <xf numFmtId="49" fontId="3" fillId="9" borderId="5" xfId="8" applyNumberFormat="1" applyFont="1" applyFill="1" applyBorder="1" applyAlignment="1" applyProtection="1">
      <alignment horizontal="center"/>
      <protection locked="0"/>
    </xf>
    <xf numFmtId="49" fontId="3" fillId="9" borderId="0" xfId="11" applyNumberFormat="1" applyFont="1" applyFill="1" applyBorder="1" applyAlignment="1" applyProtection="1">
      <alignment horizontal="left"/>
      <protection locked="0"/>
    </xf>
    <xf numFmtId="1" fontId="3" fillId="15" borderId="0" xfId="13" applyNumberFormat="1" applyFont="1" applyFill="1" applyBorder="1" applyAlignment="1" applyProtection="1">
      <alignment horizontal="center"/>
      <protection locked="0"/>
    </xf>
    <xf numFmtId="49" fontId="3" fillId="9" borderId="5" xfId="11" applyNumberFormat="1" applyFont="1" applyFill="1" applyBorder="1" applyAlignment="1" applyProtection="1">
      <alignment horizontal="center"/>
      <protection locked="0"/>
    </xf>
    <xf numFmtId="49" fontId="3" fillId="9" borderId="0" xfId="11" applyNumberFormat="1" applyFont="1" applyFill="1" applyBorder="1" applyAlignment="1" applyProtection="1">
      <alignment horizontal="center"/>
      <protection locked="0"/>
    </xf>
    <xf numFmtId="49" fontId="3" fillId="5" borderId="5" xfId="11" applyNumberFormat="1" applyFont="1" applyFill="1" applyBorder="1" applyAlignment="1" applyProtection="1">
      <alignment horizontal="center"/>
      <protection locked="0"/>
    </xf>
    <xf numFmtId="49" fontId="3" fillId="5" borderId="0" xfId="11" applyNumberFormat="1" applyFont="1" applyFill="1" applyBorder="1" applyAlignment="1" applyProtection="1">
      <alignment horizontal="left"/>
      <protection locked="0"/>
    </xf>
    <xf numFmtId="49" fontId="3" fillId="5" borderId="0" xfId="11" applyNumberFormat="1" applyFont="1" applyFill="1" applyBorder="1" applyAlignment="1" applyProtection="1">
      <alignment horizontal="center"/>
      <protection locked="0"/>
    </xf>
    <xf numFmtId="1" fontId="3" fillId="5" borderId="0" xfId="6" applyNumberFormat="1" applyFont="1" applyFill="1" applyBorder="1" applyAlignment="1" applyProtection="1">
      <alignment horizontal="center"/>
      <protection locked="0"/>
    </xf>
    <xf numFmtId="49" fontId="3" fillId="16" borderId="5" xfId="11" applyNumberFormat="1" applyFont="1" applyFill="1" applyBorder="1" applyAlignment="1" applyProtection="1">
      <alignment horizontal="center"/>
      <protection locked="0"/>
    </xf>
    <xf numFmtId="49" fontId="3" fillId="16" borderId="0" xfId="11" applyNumberFormat="1" applyFont="1" applyFill="1" applyBorder="1" applyAlignment="1" applyProtection="1">
      <alignment horizontal="left"/>
      <protection locked="0"/>
    </xf>
    <xf numFmtId="49" fontId="3" fillId="16" borderId="0" xfId="11" applyNumberFormat="1" applyFont="1" applyFill="1" applyBorder="1" applyAlignment="1" applyProtection="1">
      <alignment horizontal="center"/>
      <protection locked="0"/>
    </xf>
    <xf numFmtId="1" fontId="3" fillId="16" borderId="0" xfId="6" applyNumberFormat="1" applyFont="1" applyFill="1" applyBorder="1" applyAlignment="1" applyProtection="1">
      <alignment horizontal="center"/>
      <protection locked="0"/>
    </xf>
    <xf numFmtId="49" fontId="3" fillId="16" borderId="5" xfId="8" applyNumberFormat="1" applyFont="1" applyFill="1" applyBorder="1" applyAlignment="1" applyProtection="1">
      <alignment horizontal="center"/>
      <protection locked="0"/>
    </xf>
    <xf numFmtId="49" fontId="3" fillId="16" borderId="0" xfId="8" applyNumberFormat="1" applyFont="1" applyFill="1" applyBorder="1" applyAlignment="1" applyProtection="1">
      <alignment horizontal="center"/>
      <protection locked="0"/>
    </xf>
    <xf numFmtId="1" fontId="3" fillId="17" borderId="0" xfId="13" applyNumberFormat="1" applyFont="1" applyFill="1" applyBorder="1" applyAlignment="1" applyProtection="1">
      <alignment horizontal="center"/>
      <protection locked="0"/>
    </xf>
    <xf numFmtId="49" fontId="3" fillId="16" borderId="0" xfId="8" applyNumberFormat="1" applyFont="1" applyFill="1" applyBorder="1" applyAlignment="1" applyProtection="1">
      <alignment horizontal="left"/>
      <protection locked="0"/>
    </xf>
    <xf numFmtId="3" fontId="3" fillId="16" borderId="0" xfId="8" applyFont="1" applyFill="1" applyBorder="1" applyAlignment="1" applyProtection="1">
      <protection locked="0"/>
    </xf>
    <xf numFmtId="49" fontId="3" fillId="7" borderId="5" xfId="11" applyNumberFormat="1" applyFont="1" applyFill="1" applyBorder="1" applyAlignment="1" applyProtection="1">
      <alignment horizontal="center"/>
      <protection locked="0"/>
    </xf>
    <xf numFmtId="49" fontId="3" fillId="7" borderId="0" xfId="11" applyNumberFormat="1" applyFont="1" applyFill="1" applyBorder="1" applyAlignment="1" applyProtection="1">
      <alignment horizontal="center"/>
      <protection locked="0"/>
    </xf>
    <xf numFmtId="1" fontId="3" fillId="7" borderId="0" xfId="6" applyNumberFormat="1" applyFont="1" applyFill="1" applyBorder="1" applyAlignment="1" applyProtection="1">
      <alignment horizontal="center"/>
      <protection locked="0"/>
    </xf>
    <xf numFmtId="49" fontId="3" fillId="7" borderId="0" xfId="8" applyNumberFormat="1" applyFont="1" applyFill="1" applyBorder="1" applyAlignment="1" applyProtection="1">
      <alignment horizontal="left"/>
      <protection locked="0"/>
    </xf>
    <xf numFmtId="49" fontId="3" fillId="7" borderId="0" xfId="8" applyNumberFormat="1" applyFont="1" applyFill="1" applyBorder="1" applyAlignment="1" applyProtection="1">
      <alignment horizontal="center"/>
      <protection locked="0"/>
    </xf>
    <xf numFmtId="1" fontId="3" fillId="12" borderId="0" xfId="13" applyNumberFormat="1" applyFont="1" applyFill="1" applyBorder="1" applyAlignment="1" applyProtection="1">
      <alignment horizontal="center"/>
      <protection locked="0"/>
    </xf>
    <xf numFmtId="49" fontId="3" fillId="18" borderId="0" xfId="11" applyNumberFormat="1" applyFont="1" applyFill="1" applyBorder="1" applyAlignment="1" applyProtection="1">
      <alignment horizontal="center"/>
      <protection locked="0"/>
    </xf>
    <xf numFmtId="49" fontId="3" fillId="18" borderId="0" xfId="11" applyNumberFormat="1" applyFont="1" applyFill="1" applyBorder="1" applyAlignment="1" applyProtection="1">
      <alignment horizontal="left"/>
      <protection locked="0"/>
    </xf>
    <xf numFmtId="49" fontId="3" fillId="18" borderId="0" xfId="6" applyNumberFormat="1" applyFont="1" applyFill="1" applyBorder="1" applyAlignment="1" applyProtection="1">
      <alignment horizontal="center"/>
      <protection locked="0"/>
    </xf>
    <xf numFmtId="1" fontId="3" fillId="18" borderId="0" xfId="6" applyNumberFormat="1" applyFont="1" applyFill="1" applyBorder="1" applyAlignment="1" applyProtection="1">
      <alignment horizontal="center"/>
      <protection locked="0"/>
    </xf>
    <xf numFmtId="3" fontId="3" fillId="18" borderId="0" xfId="8" applyFont="1" applyFill="1" applyBorder="1" applyAlignment="1" applyProtection="1">
      <protection locked="0"/>
    </xf>
    <xf numFmtId="49" fontId="3" fillId="18" borderId="0" xfId="8" applyNumberFormat="1" applyFont="1" applyFill="1" applyBorder="1" applyAlignment="1" applyProtection="1">
      <alignment horizontal="left"/>
      <protection locked="0"/>
    </xf>
    <xf numFmtId="49" fontId="3" fillId="13" borderId="0" xfId="6" applyNumberFormat="1" applyFont="1" applyFill="1" applyBorder="1" applyAlignment="1" applyProtection="1">
      <alignment horizontal="center"/>
      <protection locked="0"/>
    </xf>
    <xf numFmtId="0" fontId="3" fillId="11" borderId="0" xfId="6" applyNumberFormat="1" applyFont="1" applyFill="1" applyBorder="1" applyAlignment="1" applyProtection="1">
      <alignment horizontal="center"/>
      <protection locked="0"/>
    </xf>
    <xf numFmtId="49" fontId="3" fillId="11" borderId="0" xfId="12" applyNumberFormat="1" applyFont="1" applyFill="1" applyBorder="1" applyAlignment="1" applyProtection="1">
      <alignment horizontal="left"/>
      <protection locked="0"/>
    </xf>
    <xf numFmtId="3" fontId="3" fillId="11" borderId="0" xfId="8" applyFont="1" applyFill="1" applyBorder="1" applyAlignment="1" applyProtection="1">
      <protection locked="0"/>
    </xf>
    <xf numFmtId="49" fontId="3" fillId="11" borderId="0" xfId="8" applyNumberFormat="1" applyFont="1" applyFill="1" applyBorder="1" applyAlignment="1" applyProtection="1">
      <alignment horizontal="center"/>
      <protection locked="0"/>
    </xf>
    <xf numFmtId="1" fontId="3" fillId="19" borderId="0" xfId="13" applyNumberFormat="1" applyFont="1" applyFill="1" applyBorder="1" applyAlignment="1" applyProtection="1">
      <alignment horizontal="center"/>
      <protection locked="0"/>
    </xf>
    <xf numFmtId="49" fontId="3" fillId="11" borderId="0" xfId="8" applyNumberFormat="1" applyFont="1" applyFill="1" applyBorder="1" applyAlignment="1" applyProtection="1">
      <alignment horizontal="left"/>
      <protection locked="0"/>
    </xf>
    <xf numFmtId="49" fontId="3" fillId="19" borderId="0" xfId="13" applyNumberFormat="1" applyFont="1" applyFill="1" applyBorder="1" applyAlignment="1" applyProtection="1">
      <alignment horizontal="center"/>
      <protection locked="0"/>
    </xf>
    <xf numFmtId="49" fontId="3" fillId="8" borderId="0" xfId="11" applyNumberFormat="1" applyFont="1" applyFill="1" applyBorder="1" applyAlignment="1" applyProtection="1">
      <alignment horizontal="center"/>
      <protection locked="0"/>
    </xf>
    <xf numFmtId="164" fontId="3" fillId="9" borderId="0" xfId="11" applyFont="1" applyFill="1" applyBorder="1" applyProtection="1">
      <protection locked="0"/>
    </xf>
    <xf numFmtId="49" fontId="3" fillId="5" borderId="0" xfId="12" applyNumberFormat="1" applyFont="1" applyFill="1" applyBorder="1" applyAlignment="1" applyProtection="1">
      <alignment horizontal="left"/>
      <protection locked="0"/>
    </xf>
    <xf numFmtId="164" fontId="3" fillId="5" borderId="0" xfId="11" applyFont="1" applyFill="1" applyBorder="1" applyProtection="1">
      <protection locked="0"/>
    </xf>
    <xf numFmtId="49" fontId="42" fillId="7" borderId="0" xfId="6" applyNumberFormat="1" applyFont="1" applyFill="1" applyBorder="1" applyAlignment="1" applyProtection="1">
      <alignment horizontal="left"/>
      <protection locked="0"/>
    </xf>
    <xf numFmtId="49" fontId="43" fillId="7" borderId="0" xfId="6" applyNumberFormat="1" applyFont="1" applyFill="1" applyBorder="1" applyAlignment="1" applyProtection="1">
      <alignment horizontal="left"/>
      <protection locked="0"/>
    </xf>
    <xf numFmtId="3" fontId="30" fillId="7" borderId="0" xfId="8" applyFont="1" applyFill="1" applyBorder="1" applyAlignment="1" applyProtection="1">
      <protection locked="0"/>
    </xf>
    <xf numFmtId="3" fontId="44" fillId="7" borderId="0" xfId="8" applyFont="1" applyFill="1" applyBorder="1" applyAlignment="1" applyProtection="1">
      <protection locked="0"/>
    </xf>
    <xf numFmtId="1" fontId="30" fillId="7" borderId="0" xfId="6" applyNumberFormat="1" applyFont="1" applyFill="1" applyBorder="1" applyAlignment="1" applyProtection="1">
      <alignment horizontal="center"/>
      <protection locked="0"/>
    </xf>
    <xf numFmtId="49" fontId="42" fillId="4" borderId="0" xfId="6" applyNumberFormat="1" applyFont="1" applyFill="1" applyBorder="1" applyAlignment="1" applyProtection="1">
      <alignment horizontal="left"/>
      <protection locked="0"/>
    </xf>
    <xf numFmtId="164" fontId="30" fillId="4" borderId="0" xfId="6" applyFont="1" applyFill="1" applyBorder="1" applyAlignment="1" applyProtection="1">
      <protection locked="0"/>
    </xf>
    <xf numFmtId="164" fontId="44" fillId="4" borderId="0" xfId="6" applyFont="1" applyFill="1" applyBorder="1" applyAlignment="1" applyProtection="1">
      <protection locked="0"/>
    </xf>
    <xf numFmtId="1" fontId="30" fillId="4" borderId="0" xfId="6" applyNumberFormat="1" applyFont="1" applyFill="1" applyBorder="1" applyAlignment="1" applyProtection="1">
      <alignment horizontal="center"/>
      <protection locked="0"/>
    </xf>
    <xf numFmtId="49" fontId="43" fillId="4" borderId="0" xfId="6" applyNumberFormat="1" applyFont="1" applyFill="1" applyBorder="1" applyAlignment="1" applyProtection="1">
      <alignment horizontal="left"/>
      <protection locked="0"/>
    </xf>
    <xf numFmtId="49" fontId="43" fillId="9" borderId="0" xfId="6" applyNumberFormat="1" applyFont="1" applyFill="1" applyBorder="1" applyAlignment="1" applyProtection="1">
      <alignment horizontal="left"/>
      <protection locked="0"/>
    </xf>
    <xf numFmtId="49" fontId="30" fillId="9" borderId="0" xfId="6" applyNumberFormat="1" applyFont="1" applyFill="1" applyBorder="1" applyAlignment="1" applyProtection="1">
      <alignment horizontal="left"/>
      <protection locked="0"/>
    </xf>
    <xf numFmtId="49" fontId="44" fillId="9" borderId="0" xfId="6" applyNumberFormat="1" applyFont="1" applyFill="1" applyBorder="1" applyAlignment="1" applyProtection="1">
      <alignment horizontal="left"/>
      <protection locked="0"/>
    </xf>
    <xf numFmtId="1" fontId="30" fillId="9" borderId="0" xfId="6" applyNumberFormat="1" applyFont="1" applyFill="1" applyBorder="1" applyAlignment="1" applyProtection="1">
      <alignment horizontal="center"/>
      <protection locked="0"/>
    </xf>
    <xf numFmtId="3" fontId="43" fillId="9" borderId="0" xfId="8" applyFont="1" applyFill="1" applyBorder="1" applyAlignment="1" applyProtection="1">
      <protection locked="0"/>
    </xf>
    <xf numFmtId="3" fontId="7" fillId="0" borderId="0" xfId="16" applyNumberFormat="1" applyFont="1" applyFill="1" applyBorder="1" applyAlignment="1" applyProtection="1">
      <alignment horizontal="right"/>
      <protection locked="0"/>
    </xf>
    <xf numFmtId="49" fontId="3" fillId="16" borderId="0" xfId="6" applyNumberFormat="1" applyFont="1" applyFill="1" applyBorder="1" applyAlignment="1" applyProtection="1">
      <alignment horizontal="center"/>
      <protection locked="0"/>
    </xf>
    <xf numFmtId="49" fontId="3" fillId="16" borderId="0" xfId="6" applyNumberFormat="1" applyFont="1" applyFill="1" applyBorder="1" applyAlignment="1" applyProtection="1">
      <alignment horizontal="left"/>
      <protection locked="0"/>
    </xf>
    <xf numFmtId="49" fontId="42" fillId="16" borderId="0" xfId="6" applyNumberFormat="1" applyFont="1" applyFill="1" applyBorder="1" applyAlignment="1" applyProtection="1">
      <alignment horizontal="left"/>
      <protection locked="0"/>
    </xf>
    <xf numFmtId="49" fontId="43" fillId="16" borderId="0" xfId="6" applyNumberFormat="1" applyFont="1" applyFill="1" applyBorder="1" applyAlignment="1" applyProtection="1">
      <alignment horizontal="left"/>
      <protection locked="0"/>
    </xf>
    <xf numFmtId="164" fontId="30" fillId="16" borderId="0" xfId="6" applyFont="1" applyFill="1" applyBorder="1" applyAlignment="1" applyProtection="1">
      <protection locked="0"/>
    </xf>
    <xf numFmtId="164" fontId="44" fillId="16" borderId="0" xfId="6" applyFont="1" applyFill="1" applyBorder="1" applyAlignment="1" applyProtection="1">
      <protection locked="0"/>
    </xf>
    <xf numFmtId="1" fontId="3" fillId="16" borderId="0" xfId="8" applyNumberFormat="1" applyFont="1" applyFill="1" applyBorder="1" applyAlignment="1" applyProtection="1">
      <alignment horizontal="center"/>
      <protection locked="0"/>
    </xf>
    <xf numFmtId="3" fontId="43" fillId="16" borderId="0" xfId="8" applyFont="1" applyFill="1" applyBorder="1" applyAlignment="1" applyProtection="1">
      <protection locked="0"/>
    </xf>
    <xf numFmtId="49" fontId="43" fillId="16" borderId="0" xfId="8" applyNumberFormat="1" applyFont="1" applyFill="1" applyBorder="1" applyAlignment="1" applyProtection="1">
      <alignment horizontal="left"/>
      <protection locked="0"/>
    </xf>
    <xf numFmtId="49" fontId="3" fillId="16" borderId="5" xfId="6" applyNumberFormat="1" applyFont="1" applyFill="1" applyBorder="1" applyAlignment="1" applyProtection="1">
      <alignment horizontal="center"/>
      <protection locked="0"/>
    </xf>
    <xf numFmtId="1" fontId="30" fillId="17" borderId="0" xfId="9" applyNumberFormat="1" applyFont="1" applyFill="1" applyBorder="1" applyAlignment="1" applyProtection="1">
      <alignment horizontal="center"/>
      <protection locked="0"/>
    </xf>
    <xf numFmtId="1" fontId="3" fillId="17" borderId="0" xfId="9" applyNumberFormat="1" applyFont="1" applyFill="1" applyBorder="1" applyAlignment="1" applyProtection="1">
      <alignment horizontal="center"/>
      <protection locked="0"/>
    </xf>
    <xf numFmtId="49" fontId="30" fillId="24" borderId="0" xfId="11" applyNumberFormat="1" applyFont="1" applyFill="1" applyBorder="1" applyAlignment="1" applyProtection="1">
      <alignment horizontal="left"/>
      <protection locked="0"/>
    </xf>
    <xf numFmtId="49" fontId="44" fillId="24" borderId="0" xfId="11" applyNumberFormat="1" applyFont="1" applyFill="1" applyBorder="1" applyAlignment="1" applyProtection="1">
      <alignment horizontal="left"/>
      <protection locked="0"/>
    </xf>
    <xf numFmtId="1" fontId="3" fillId="7" borderId="0" xfId="11" applyNumberFormat="1" applyFont="1" applyFill="1" applyBorder="1" applyAlignment="1" applyProtection="1">
      <alignment horizontal="center"/>
      <protection locked="0"/>
    </xf>
    <xf numFmtId="49" fontId="30" fillId="4" borderId="0" xfId="11" applyNumberFormat="1" applyFont="1" applyFill="1" applyBorder="1" applyAlignment="1" applyProtection="1">
      <alignment horizontal="left"/>
      <protection locked="0"/>
    </xf>
    <xf numFmtId="49" fontId="45" fillId="4" borderId="0" xfId="11" applyNumberFormat="1" applyFont="1" applyFill="1" applyBorder="1" applyAlignment="1" applyProtection="1">
      <alignment horizontal="left"/>
      <protection locked="0"/>
    </xf>
    <xf numFmtId="49" fontId="43" fillId="4" borderId="0" xfId="11" applyNumberFormat="1" applyFont="1" applyFill="1" applyBorder="1" applyAlignment="1" applyProtection="1">
      <alignment horizontal="left"/>
      <protection locked="0"/>
    </xf>
    <xf numFmtId="49" fontId="3" fillId="18" borderId="5" xfId="11" applyNumberFormat="1" applyFont="1" applyFill="1" applyBorder="1" applyAlignment="1" applyProtection="1">
      <alignment horizontal="center"/>
      <protection locked="0"/>
    </xf>
    <xf numFmtId="49" fontId="42" fillId="18" borderId="0" xfId="11" applyNumberFormat="1" applyFont="1" applyFill="1" applyBorder="1" applyAlignment="1" applyProtection="1">
      <alignment horizontal="left"/>
      <protection locked="0"/>
    </xf>
    <xf numFmtId="1" fontId="3" fillId="18" borderId="0" xfId="11" applyNumberFormat="1" applyFont="1" applyFill="1" applyBorder="1" applyAlignment="1" applyProtection="1">
      <alignment horizontal="center"/>
      <protection locked="0"/>
    </xf>
    <xf numFmtId="49" fontId="43" fillId="18" borderId="0" xfId="11" applyNumberFormat="1" applyFont="1" applyFill="1" applyBorder="1" applyAlignment="1" applyProtection="1">
      <alignment horizontal="left"/>
      <protection locked="0"/>
    </xf>
    <xf numFmtId="3" fontId="30" fillId="18" borderId="0" xfId="8" applyFont="1" applyFill="1" applyBorder="1" applyAlignment="1" applyProtection="1">
      <protection locked="0"/>
    </xf>
    <xf numFmtId="3" fontId="44" fillId="18" borderId="0" xfId="8" applyFont="1" applyFill="1" applyBorder="1" applyAlignment="1" applyProtection="1">
      <protection locked="0"/>
    </xf>
    <xf numFmtId="3" fontId="43" fillId="18" borderId="0" xfId="8" applyFont="1" applyFill="1" applyBorder="1" applyAlignment="1" applyProtection="1">
      <protection locked="0"/>
    </xf>
    <xf numFmtId="1" fontId="3" fillId="25" borderId="0" xfId="11" applyNumberFormat="1" applyFont="1" applyFill="1" applyBorder="1" applyAlignment="1" applyProtection="1">
      <alignment horizontal="center"/>
      <protection locked="0"/>
    </xf>
    <xf numFmtId="49" fontId="43" fillId="18" borderId="0" xfId="8" applyNumberFormat="1" applyFont="1" applyFill="1" applyBorder="1" applyAlignment="1" applyProtection="1">
      <alignment horizontal="left"/>
      <protection locked="0"/>
    </xf>
    <xf numFmtId="49" fontId="3" fillId="18" borderId="5" xfId="8" applyNumberFormat="1" applyFont="1" applyFill="1" applyBorder="1" applyAlignment="1" applyProtection="1">
      <alignment horizontal="center"/>
      <protection locked="0"/>
    </xf>
    <xf numFmtId="1" fontId="3" fillId="18" borderId="0" xfId="8" applyNumberFormat="1" applyFont="1" applyFill="1" applyBorder="1" applyAlignment="1" applyProtection="1">
      <alignment horizontal="center"/>
      <protection locked="0"/>
    </xf>
    <xf numFmtId="49" fontId="30" fillId="25" borderId="0" xfId="11" applyNumberFormat="1" applyFont="1" applyFill="1" applyBorder="1" applyAlignment="1" applyProtection="1">
      <alignment horizontal="left"/>
      <protection locked="0"/>
    </xf>
    <xf numFmtId="49" fontId="44" fillId="25" borderId="0" xfId="11" applyNumberFormat="1" applyFont="1" applyFill="1" applyBorder="1" applyAlignment="1" applyProtection="1">
      <alignment horizontal="left"/>
      <protection locked="0"/>
    </xf>
    <xf numFmtId="3" fontId="30" fillId="18" borderId="0" xfId="8" applyFont="1" applyFill="1" applyBorder="1" applyAlignment="1" applyProtection="1">
      <alignment horizontal="center"/>
      <protection locked="0"/>
    </xf>
    <xf numFmtId="1" fontId="3" fillId="25" borderId="0" xfId="6" applyNumberFormat="1" applyFont="1" applyFill="1" applyBorder="1" applyAlignment="1" applyProtection="1">
      <alignment horizontal="center"/>
      <protection locked="0"/>
    </xf>
    <xf numFmtId="1" fontId="3" fillId="26" borderId="0" xfId="9" applyNumberFormat="1" applyFont="1" applyFill="1" applyBorder="1" applyAlignment="1" applyProtection="1">
      <alignment horizontal="center"/>
      <protection locked="0"/>
    </xf>
    <xf numFmtId="49" fontId="42" fillId="13" borderId="0" xfId="11" applyNumberFormat="1" applyFont="1" applyFill="1" applyBorder="1" applyAlignment="1" applyProtection="1">
      <alignment horizontal="left"/>
      <protection locked="0"/>
    </xf>
    <xf numFmtId="164" fontId="30" fillId="13" borderId="0" xfId="11" applyFont="1" applyFill="1" applyBorder="1" applyProtection="1">
      <protection locked="0"/>
    </xf>
    <xf numFmtId="164" fontId="44" fillId="13" borderId="0" xfId="11" applyFont="1" applyFill="1" applyBorder="1" applyProtection="1">
      <protection locked="0"/>
    </xf>
    <xf numFmtId="164" fontId="30" fillId="13" borderId="0" xfId="11" applyFont="1" applyFill="1" applyBorder="1" applyAlignment="1" applyProtection="1">
      <alignment horizontal="center"/>
      <protection locked="0"/>
    </xf>
    <xf numFmtId="49" fontId="43" fillId="13" borderId="0" xfId="11" applyNumberFormat="1" applyFont="1" applyFill="1" applyBorder="1" applyAlignment="1" applyProtection="1">
      <alignment horizontal="left"/>
      <protection locked="0"/>
    </xf>
    <xf numFmtId="49" fontId="7" fillId="9" borderId="0" xfId="11" applyNumberFormat="1" applyFont="1" applyFill="1" applyBorder="1" applyAlignment="1" applyProtection="1">
      <alignment horizontal="left"/>
      <protection locked="0"/>
    </xf>
    <xf numFmtId="49" fontId="30" fillId="9" borderId="0" xfId="11" applyNumberFormat="1" applyFont="1" applyFill="1" applyBorder="1" applyAlignment="1" applyProtection="1">
      <alignment horizontal="left"/>
      <protection locked="0"/>
    </xf>
    <xf numFmtId="49" fontId="30" fillId="9" borderId="0" xfId="11" applyNumberFormat="1" applyFont="1" applyFill="1" applyBorder="1" applyAlignment="1" applyProtection="1">
      <alignment horizontal="center"/>
      <protection locked="0"/>
    </xf>
    <xf numFmtId="49" fontId="42" fillId="5" borderId="0" xfId="11" applyNumberFormat="1" applyFont="1" applyFill="1" applyBorder="1" applyAlignment="1" applyProtection="1">
      <alignment horizontal="left"/>
      <protection locked="0"/>
    </xf>
    <xf numFmtId="49" fontId="30" fillId="16" borderId="0" xfId="11" applyNumberFormat="1" applyFont="1" applyFill="1" applyBorder="1" applyAlignment="1" applyProtection="1">
      <alignment horizontal="left"/>
      <protection locked="0"/>
    </xf>
    <xf numFmtId="49" fontId="44" fillId="16" borderId="0" xfId="11" applyNumberFormat="1" applyFont="1" applyFill="1" applyBorder="1" applyAlignment="1" applyProtection="1">
      <alignment horizontal="left"/>
      <protection locked="0"/>
    </xf>
    <xf numFmtId="1" fontId="30" fillId="16" borderId="0" xfId="6" applyNumberFormat="1" applyFont="1" applyFill="1" applyBorder="1" applyAlignment="1" applyProtection="1">
      <alignment horizontal="center"/>
      <protection locked="0"/>
    </xf>
    <xf numFmtId="49" fontId="42" fillId="7" borderId="0" xfId="11" applyNumberFormat="1" applyFont="1" applyFill="1" applyBorder="1" applyAlignment="1" applyProtection="1">
      <alignment horizontal="left"/>
      <protection locked="0"/>
    </xf>
    <xf numFmtId="49" fontId="3" fillId="4" borderId="5" xfId="11" applyNumberFormat="1" applyFont="1" applyFill="1" applyBorder="1" applyAlignment="1" applyProtection="1">
      <alignment horizontal="center"/>
      <protection locked="0"/>
    </xf>
    <xf numFmtId="164" fontId="3" fillId="4" borderId="0" xfId="11" applyFont="1" applyFill="1" applyBorder="1" applyProtection="1">
      <protection locked="0"/>
    </xf>
    <xf numFmtId="164" fontId="43" fillId="4" borderId="0" xfId="11" applyFont="1" applyFill="1" applyBorder="1" applyProtection="1">
      <protection locked="0"/>
    </xf>
    <xf numFmtId="1" fontId="3" fillId="4" borderId="0" xfId="11" applyNumberFormat="1" applyFont="1" applyFill="1" applyBorder="1" applyAlignment="1" applyProtection="1">
      <alignment horizontal="center"/>
      <protection locked="0"/>
    </xf>
    <xf numFmtId="49" fontId="3" fillId="4" borderId="0" xfId="22" applyNumberFormat="1" applyFont="1" applyFill="1" applyBorder="1" applyAlignment="1" applyProtection="1">
      <alignment horizontal="left"/>
      <protection locked="0"/>
    </xf>
    <xf numFmtId="49" fontId="43" fillId="4" borderId="0" xfId="22" applyNumberFormat="1" applyFont="1" applyFill="1" applyBorder="1" applyAlignment="1" applyProtection="1">
      <alignment horizontal="left"/>
      <protection locked="0"/>
    </xf>
    <xf numFmtId="1" fontId="3" fillId="4" borderId="0" xfId="22" applyNumberFormat="1" applyFont="1" applyFill="1" applyBorder="1" applyAlignment="1" applyProtection="1">
      <alignment horizontal="center"/>
      <protection locked="0"/>
    </xf>
    <xf numFmtId="49" fontId="3" fillId="4" borderId="0" xfId="18" applyNumberFormat="1" applyFont="1" applyFill="1" applyBorder="1" applyAlignment="1" applyProtection="1">
      <alignment horizontal="center"/>
      <protection locked="0"/>
    </xf>
    <xf numFmtId="49" fontId="3" fillId="4" borderId="0" xfId="18" applyNumberFormat="1" applyFont="1" applyFill="1" applyBorder="1" applyAlignment="1" applyProtection="1">
      <alignment horizontal="left"/>
      <protection locked="0"/>
    </xf>
    <xf numFmtId="49" fontId="43" fillId="4" borderId="0" xfId="18" applyNumberFormat="1" applyFont="1" applyFill="1" applyBorder="1" applyAlignment="1" applyProtection="1">
      <alignment horizontal="left"/>
      <protection locked="0"/>
    </xf>
    <xf numFmtId="0" fontId="3" fillId="4" borderId="0" xfId="22" applyNumberFormat="1" applyFont="1" applyFill="1" applyBorder="1" applyAlignment="1" applyProtection="1">
      <alignment horizontal="center"/>
      <protection locked="0"/>
    </xf>
    <xf numFmtId="1" fontId="3" fillId="4" borderId="0" xfId="18" applyNumberFormat="1" applyFont="1" applyFill="1" applyBorder="1" applyAlignment="1" applyProtection="1">
      <alignment horizontal="center"/>
      <protection locked="0"/>
    </xf>
    <xf numFmtId="49" fontId="3" fillId="25" borderId="0" xfId="11" applyNumberFormat="1" applyFont="1" applyFill="1" applyBorder="1" applyAlignment="1" applyProtection="1">
      <alignment horizontal="left"/>
      <protection locked="0"/>
    </xf>
    <xf numFmtId="49" fontId="43" fillId="25" borderId="0" xfId="11" applyNumberFormat="1" applyFont="1" applyFill="1" applyBorder="1" applyAlignment="1" applyProtection="1">
      <alignment horizontal="left"/>
      <protection locked="0"/>
    </xf>
    <xf numFmtId="49" fontId="30" fillId="13" borderId="0" xfId="11" applyNumberFormat="1" applyFont="1" applyFill="1" applyBorder="1" applyAlignment="1" applyProtection="1">
      <alignment horizontal="left"/>
      <protection locked="0"/>
    </xf>
    <xf numFmtId="49" fontId="45" fillId="13" borderId="0" xfId="11" applyNumberFormat="1" applyFont="1" applyFill="1" applyBorder="1" applyAlignment="1" applyProtection="1">
      <alignment horizontal="left"/>
      <protection locked="0"/>
    </xf>
    <xf numFmtId="1" fontId="30" fillId="13" borderId="0" xfId="6" applyNumberFormat="1" applyFont="1" applyFill="1" applyBorder="1" applyAlignment="1" applyProtection="1">
      <alignment horizontal="center"/>
      <protection locked="0"/>
    </xf>
    <xf numFmtId="49" fontId="42" fillId="11" borderId="0" xfId="11" applyNumberFormat="1" applyFont="1" applyFill="1" applyBorder="1" applyAlignment="1" applyProtection="1">
      <alignment horizontal="left"/>
      <protection locked="0"/>
    </xf>
    <xf numFmtId="49" fontId="30" fillId="11" borderId="0" xfId="11" applyNumberFormat="1" applyFont="1" applyFill="1" applyBorder="1" applyAlignment="1" applyProtection="1">
      <alignment horizontal="left"/>
      <protection locked="0"/>
    </xf>
    <xf numFmtId="49" fontId="45" fillId="11" borderId="0" xfId="11" applyNumberFormat="1" applyFont="1" applyFill="1" applyBorder="1" applyAlignment="1" applyProtection="1">
      <alignment horizontal="left"/>
      <protection locked="0"/>
    </xf>
    <xf numFmtId="1" fontId="30" fillId="11" borderId="0" xfId="6" applyNumberFormat="1" applyFont="1" applyFill="1" applyBorder="1" applyAlignment="1" applyProtection="1">
      <alignment horizontal="center"/>
      <protection locked="0"/>
    </xf>
    <xf numFmtId="0" fontId="3" fillId="11" borderId="0" xfId="8" applyNumberFormat="1" applyFont="1" applyFill="1" applyBorder="1" applyAlignment="1" applyProtection="1">
      <alignment horizontal="center"/>
      <protection locked="0"/>
    </xf>
    <xf numFmtId="3" fontId="30" fillId="11" borderId="0" xfId="8" applyFont="1" applyFill="1" applyBorder="1" applyAlignment="1" applyProtection="1">
      <protection locked="0"/>
    </xf>
    <xf numFmtId="3" fontId="44" fillId="11" borderId="0" xfId="8" applyFont="1" applyFill="1" applyBorder="1" applyAlignment="1" applyProtection="1">
      <protection locked="0"/>
    </xf>
    <xf numFmtId="49" fontId="43" fillId="11" borderId="0" xfId="11" applyNumberFormat="1" applyFont="1" applyFill="1" applyBorder="1" applyAlignment="1" applyProtection="1">
      <alignment horizontal="left"/>
      <protection locked="0"/>
    </xf>
    <xf numFmtId="3" fontId="43" fillId="11" borderId="0" xfId="8" applyFont="1" applyFill="1" applyBorder="1" applyAlignment="1" applyProtection="1">
      <protection locked="0"/>
    </xf>
    <xf numFmtId="49" fontId="43" fillId="11" borderId="0" xfId="8" applyNumberFormat="1" applyFont="1" applyFill="1" applyBorder="1" applyAlignment="1" applyProtection="1">
      <alignment horizontal="left"/>
      <protection locked="0"/>
    </xf>
    <xf numFmtId="49" fontId="45" fillId="9" borderId="0" xfId="11" applyNumberFormat="1" applyFont="1" applyFill="1" applyBorder="1" applyAlignment="1" applyProtection="1">
      <alignment horizontal="left"/>
      <protection locked="0"/>
    </xf>
    <xf numFmtId="49" fontId="43" fillId="9" borderId="0" xfId="11" applyNumberFormat="1" applyFont="1" applyFill="1" applyBorder="1" applyAlignment="1" applyProtection="1">
      <alignment horizontal="left"/>
      <protection locked="0"/>
    </xf>
    <xf numFmtId="164" fontId="43" fillId="9" borderId="0" xfId="11" applyFont="1" applyFill="1" applyBorder="1" applyProtection="1">
      <protection locked="0"/>
    </xf>
    <xf numFmtId="49" fontId="30" fillId="5" borderId="0" xfId="11" applyNumberFormat="1" applyFont="1" applyFill="1" applyBorder="1" applyAlignment="1" applyProtection="1">
      <alignment horizontal="left"/>
      <protection locked="0"/>
    </xf>
    <xf numFmtId="49" fontId="45" fillId="5" borderId="0" xfId="11" applyNumberFormat="1" applyFont="1" applyFill="1" applyBorder="1" applyAlignment="1" applyProtection="1">
      <alignment horizontal="left"/>
      <protection locked="0"/>
    </xf>
    <xf numFmtId="0" fontId="30" fillId="5" borderId="0" xfId="6" applyNumberFormat="1" applyFont="1" applyFill="1" applyBorder="1" applyAlignment="1" applyProtection="1">
      <alignment horizontal="center"/>
      <protection locked="0"/>
    </xf>
    <xf numFmtId="49" fontId="43" fillId="5" borderId="0" xfId="11" applyNumberFormat="1" applyFont="1" applyFill="1" applyBorder="1" applyAlignment="1" applyProtection="1">
      <alignment horizontal="left"/>
      <protection locked="0"/>
    </xf>
    <xf numFmtId="164" fontId="43" fillId="5" borderId="0" xfId="11" applyFont="1" applyFill="1" applyBorder="1" applyProtection="1">
      <protection locked="0"/>
    </xf>
    <xf numFmtId="0" fontId="35" fillId="0" borderId="33" xfId="0" applyFont="1" applyFill="1" applyBorder="1" applyAlignment="1">
      <alignment horizontal="right"/>
    </xf>
    <xf numFmtId="170" fontId="35" fillId="0" borderId="33" xfId="0" applyNumberFormat="1" applyFont="1" applyFill="1" applyBorder="1"/>
    <xf numFmtId="170" fontId="35" fillId="0" borderId="1" xfId="0" applyNumberFormat="1" applyFont="1" applyFill="1" applyBorder="1"/>
    <xf numFmtId="170" fontId="35" fillId="0" borderId="7" xfId="0" applyNumberFormat="1" applyFont="1" applyFill="1" applyBorder="1"/>
    <xf numFmtId="170" fontId="7" fillId="0" borderId="33" xfId="0" applyNumberFormat="1" applyFont="1" applyFill="1" applyBorder="1"/>
    <xf numFmtId="170" fontId="35" fillId="0" borderId="50" xfId="0" applyNumberFormat="1" applyFont="1" applyFill="1" applyBorder="1"/>
    <xf numFmtId="1" fontId="0" fillId="0" borderId="0" xfId="0" applyNumberFormat="1"/>
    <xf numFmtId="1" fontId="3" fillId="7" borderId="22" xfId="0" applyNumberFormat="1" applyFont="1" applyFill="1" applyBorder="1" applyAlignment="1">
      <alignment horizontal="center"/>
    </xf>
    <xf numFmtId="1" fontId="3" fillId="7" borderId="6" xfId="0" applyNumberFormat="1" applyFont="1" applyFill="1" applyBorder="1" applyAlignment="1">
      <alignment horizontal="center"/>
    </xf>
    <xf numFmtId="1" fontId="0" fillId="4" borderId="22" xfId="0" applyNumberFormat="1" applyFill="1" applyBorder="1" applyAlignment="1">
      <alignment horizontal="center"/>
    </xf>
    <xf numFmtId="1" fontId="0" fillId="4" borderId="6" xfId="0" applyNumberFormat="1" applyFill="1" applyBorder="1" applyAlignment="1">
      <alignment horizontal="center"/>
    </xf>
    <xf numFmtId="1" fontId="0" fillId="13" borderId="22" xfId="0" applyNumberFormat="1" applyFill="1" applyBorder="1" applyAlignment="1">
      <alignment horizontal="center"/>
    </xf>
    <xf numFmtId="1" fontId="0" fillId="13" borderId="21" xfId="0" applyNumberFormat="1" applyFill="1" applyBorder="1" applyAlignment="1">
      <alignment horizontal="center"/>
    </xf>
    <xf numFmtId="1" fontId="0" fillId="0" borderId="0" xfId="0" applyNumberFormat="1" applyBorder="1"/>
    <xf numFmtId="49" fontId="3" fillId="8" borderId="0" xfId="6" applyNumberFormat="1" applyFont="1" applyFill="1" applyBorder="1" applyAlignment="1" applyProtection="1">
      <alignment horizontal="center"/>
      <protection locked="0"/>
    </xf>
    <xf numFmtId="49" fontId="3" fillId="8" borderId="0" xfId="6" applyNumberFormat="1" applyFont="1" applyFill="1" applyBorder="1" applyAlignment="1" applyProtection="1">
      <alignment horizontal="left"/>
      <protection locked="0"/>
    </xf>
    <xf numFmtId="1" fontId="3" fillId="8" borderId="0" xfId="6" applyNumberFormat="1" applyFont="1" applyFill="1" applyBorder="1" applyAlignment="1" applyProtection="1">
      <alignment horizontal="center"/>
      <protection locked="0"/>
    </xf>
    <xf numFmtId="3" fontId="34" fillId="8" borderId="46" xfId="7" applyNumberFormat="1" applyFont="1" applyFill="1" applyBorder="1" applyAlignment="1" applyProtection="1"/>
    <xf numFmtId="3" fontId="39" fillId="8" borderId="5" xfId="7" applyNumberFormat="1" applyFont="1" applyFill="1" applyBorder="1" applyAlignment="1" applyProtection="1"/>
    <xf numFmtId="3" fontId="3" fillId="8" borderId="10" xfId="17" applyNumberFormat="1" applyFont="1" applyFill="1" applyBorder="1" applyAlignment="1" applyProtection="1">
      <alignment horizontal="right"/>
      <protection locked="0"/>
    </xf>
    <xf numFmtId="164" fontId="0" fillId="8" borderId="0" xfId="0" applyNumberFormat="1" applyFill="1" applyProtection="1">
      <protection locked="0"/>
    </xf>
    <xf numFmtId="3" fontId="3" fillId="8" borderId="47" xfId="17" applyNumberFormat="1" applyFont="1" applyFill="1" applyBorder="1" applyAlignment="1" applyProtection="1">
      <alignment horizontal="right"/>
      <protection locked="0"/>
    </xf>
    <xf numFmtId="3" fontId="7" fillId="8" borderId="10" xfId="17" applyNumberFormat="1" applyFont="1" applyFill="1" applyBorder="1" applyAlignment="1" applyProtection="1">
      <alignment horizontal="right"/>
      <protection locked="0"/>
    </xf>
    <xf numFmtId="3" fontId="7" fillId="8" borderId="5" xfId="17" applyNumberFormat="1" applyFont="1" applyFill="1" applyBorder="1" applyAlignment="1" applyProtection="1">
      <alignment horizontal="right"/>
      <protection locked="0"/>
    </xf>
    <xf numFmtId="3" fontId="34" fillId="8" borderId="48" xfId="7" applyNumberFormat="1" applyFont="1" applyFill="1" applyBorder="1" applyAlignment="1" applyProtection="1"/>
    <xf numFmtId="3" fontId="39" fillId="8" borderId="10" xfId="7" applyNumberFormat="1" applyFont="1" applyFill="1" applyBorder="1" applyAlignment="1" applyProtection="1"/>
    <xf numFmtId="3" fontId="3" fillId="8" borderId="5" xfId="17" applyNumberFormat="1" applyFont="1" applyFill="1" applyBorder="1" applyAlignment="1" applyProtection="1">
      <alignment horizontal="right"/>
      <protection locked="0"/>
    </xf>
    <xf numFmtId="3" fontId="7" fillId="8" borderId="49" xfId="17" applyNumberFormat="1" applyFont="1" applyFill="1" applyBorder="1" applyAlignment="1" applyProtection="1">
      <alignment horizontal="right"/>
      <protection locked="0"/>
    </xf>
    <xf numFmtId="0" fontId="3" fillId="8" borderId="0" xfId="2" applyFont="1" applyFill="1" applyBorder="1" applyProtection="1">
      <protection locked="0"/>
    </xf>
    <xf numFmtId="3" fontId="7" fillId="0" borderId="11" xfId="16" applyNumberFormat="1" applyFont="1" applyFill="1" applyBorder="1" applyAlignment="1" applyProtection="1">
      <alignment horizontal="right"/>
      <protection locked="0"/>
    </xf>
    <xf numFmtId="3" fontId="3" fillId="27" borderId="51" xfId="16" applyNumberFormat="1" applyFont="1" applyFill="1" applyBorder="1" applyAlignment="1" applyProtection="1">
      <alignment horizontal="right"/>
      <protection locked="0"/>
    </xf>
    <xf numFmtId="0" fontId="23" fillId="0" borderId="21" xfId="0" applyFont="1" applyFill="1" applyBorder="1" applyAlignment="1">
      <alignment vertical="top" wrapText="1"/>
    </xf>
    <xf numFmtId="0" fontId="17" fillId="0" borderId="21" xfId="0" applyFont="1" applyBorder="1" applyAlignment="1">
      <alignment vertical="top" wrapText="1"/>
    </xf>
    <xf numFmtId="0" fontId="25" fillId="0" borderId="2" xfId="0" applyFont="1" applyBorder="1" applyAlignment="1">
      <alignment horizontal="center"/>
    </xf>
    <xf numFmtId="0" fontId="25" fillId="0" borderId="4" xfId="0" applyFont="1" applyBorder="1" applyAlignment="1">
      <alignment horizontal="center"/>
    </xf>
    <xf numFmtId="0" fontId="25" fillId="0" borderId="3" xfId="0" applyFont="1" applyBorder="1" applyAlignment="1">
      <alignment horizontal="center"/>
    </xf>
    <xf numFmtId="37" fontId="18" fillId="0" borderId="0" xfId="0" applyNumberFormat="1" applyFont="1" applyFill="1" applyAlignment="1" applyProtection="1">
      <alignment horizontal="center"/>
    </xf>
    <xf numFmtId="37" fontId="24" fillId="0" borderId="0" xfId="0" applyNumberFormat="1" applyFont="1" applyAlignment="1" applyProtection="1">
      <alignment horizontal="center"/>
    </xf>
    <xf numFmtId="0" fontId="23" fillId="0" borderId="21" xfId="0" applyFont="1" applyFill="1" applyBorder="1" applyAlignment="1">
      <alignment vertical="center" wrapText="1"/>
    </xf>
    <xf numFmtId="0" fontId="17" fillId="0" borderId="21" xfId="0" applyFont="1" applyFill="1" applyBorder="1" applyAlignment="1">
      <alignment vertical="center" wrapText="1"/>
    </xf>
    <xf numFmtId="0" fontId="23" fillId="0" borderId="21" xfId="0" applyFont="1" applyFill="1" applyBorder="1" applyAlignment="1" applyProtection="1">
      <alignment vertical="top" wrapText="1"/>
      <protection locked="0"/>
    </xf>
    <xf numFmtId="0" fontId="0" fillId="0" borderId="21" xfId="0" applyBorder="1" applyAlignment="1">
      <alignment vertical="top"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37" fontId="20" fillId="0" borderId="0" xfId="0" applyNumberFormat="1" applyFont="1" applyAlignment="1" applyProtection="1">
      <alignment horizontal="center"/>
    </xf>
    <xf numFmtId="0" fontId="23" fillId="0" borderId="21" xfId="0" applyFont="1" applyFill="1" applyBorder="1" applyAlignment="1" applyProtection="1">
      <alignment vertical="center" wrapText="1"/>
      <protection locked="0"/>
    </xf>
    <xf numFmtId="0" fontId="0" fillId="0" borderId="21" xfId="0" applyBorder="1" applyAlignment="1" applyProtection="1">
      <alignment vertical="center" wrapText="1"/>
      <protection locked="0"/>
    </xf>
    <xf numFmtId="0" fontId="23" fillId="0" borderId="0" xfId="0" applyFont="1" applyFill="1" applyBorder="1" applyAlignment="1">
      <alignment wrapText="1"/>
    </xf>
    <xf numFmtId="0" fontId="17" fillId="0" borderId="0" xfId="0" applyFont="1" applyFill="1" applyAlignment="1"/>
    <xf numFmtId="0" fontId="31" fillId="0" borderId="0" xfId="0" applyFont="1" applyFill="1" applyBorder="1" applyAlignment="1">
      <alignment vertical="top" wrapText="1"/>
    </xf>
    <xf numFmtId="0" fontId="32" fillId="0" borderId="0" xfId="0" applyFont="1" applyBorder="1" applyAlignment="1">
      <alignment vertical="top" wrapText="1"/>
    </xf>
    <xf numFmtId="0" fontId="25" fillId="0" borderId="3" xfId="0" applyFont="1" applyFill="1" applyBorder="1" applyAlignment="1">
      <alignment horizontal="center"/>
    </xf>
    <xf numFmtId="0" fontId="25" fillId="0" borderId="2" xfId="0" applyFont="1" applyFill="1" applyBorder="1" applyAlignment="1">
      <alignment horizontal="center"/>
    </xf>
    <xf numFmtId="0" fontId="23" fillId="0" borderId="0" xfId="0" applyFont="1" applyFill="1" applyBorder="1" applyAlignment="1">
      <alignment vertical="top" wrapText="1"/>
    </xf>
    <xf numFmtId="0" fontId="17" fillId="0" borderId="0" xfId="0" applyFont="1" applyBorder="1" applyAlignment="1">
      <alignment vertical="top" wrapText="1"/>
    </xf>
    <xf numFmtId="0" fontId="17" fillId="0" borderId="0" xfId="0" applyFont="1" applyAlignment="1">
      <alignment wrapText="1"/>
    </xf>
    <xf numFmtId="0" fontId="0" fillId="0" borderId="0" xfId="0" applyFill="1" applyAlignment="1"/>
    <xf numFmtId="0" fontId="6" fillId="0" borderId="0" xfId="0" applyFont="1" applyFill="1" applyBorder="1" applyAlignment="1">
      <alignment vertical="top" wrapText="1"/>
    </xf>
    <xf numFmtId="0" fontId="0" fillId="0" borderId="0" xfId="0" applyBorder="1" applyAlignment="1">
      <alignment vertical="top" wrapText="1"/>
    </xf>
    <xf numFmtId="0" fontId="0" fillId="0" borderId="0" xfId="0" applyAlignment="1">
      <alignment wrapText="1"/>
    </xf>
  </cellXfs>
  <cellStyles count="23">
    <cellStyle name="Comma" xfId="14" builtinId="3"/>
    <cellStyle name="Comma 2" xfId="18"/>
    <cellStyle name="Comma 3" xfId="7"/>
    <cellStyle name="Comma 3 2" xfId="10"/>
    <cellStyle name="Comma 5" xfId="16"/>
    <cellStyle name="Comma 5 2" xfId="17"/>
    <cellStyle name="Normal" xfId="0" builtinId="0"/>
    <cellStyle name="Normal 2" xfId="15"/>
    <cellStyle name="Normal 7" xfId="21"/>
    <cellStyle name="Normal_03SCH&amp;FTE05" xfId="22"/>
    <cellStyle name="Normal_05InstructionTypes09mastersurvey" xfId="2"/>
    <cellStyle name="Normal_Degree02 Form" xfId="20"/>
    <cellStyle name="Normal_Degree02 Form 2" xfId="6"/>
    <cellStyle name="Normal_Degrees02 Form" xfId="19"/>
    <cellStyle name="Normal_Degrees02 Form 2" xfId="11"/>
    <cellStyle name="Normal_E-learning04 Form" xfId="5"/>
    <cellStyle name="Normal_InstructionTypes07" xfId="4"/>
    <cellStyle name="Normal_SCH&amp;FTE02 Form" xfId="8"/>
    <cellStyle name="Normal_SCH&amp;FTE03 Form" xfId="3"/>
    <cellStyle name="Normal_StProg01B 2" xfId="12"/>
    <cellStyle name="Normal_StProg02 Form" xfId="9"/>
    <cellStyle name="Normal_StProg02 Form 2" xfId="13"/>
    <cellStyle name="Percent" xfId="1" builtinId="5"/>
  </cellStyles>
  <dxfs count="128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indexed="64"/>
        </left>
      </border>
    </dxf>
    <dxf>
      <font>
        <color indexed="53"/>
      </font>
    </dxf>
    <dxf>
      <font>
        <b/>
      </font>
    </dxf>
    <dxf>
      <font>
        <b/>
      </font>
    </dxf>
    <dxf>
      <font>
        <b/>
      </font>
    </dxf>
    <dxf>
      <font>
        <b/>
      </font>
    </dxf>
    <dxf>
      <font>
        <b/>
      </font>
    </dxf>
    <dxf>
      <font>
        <b/>
      </font>
    </dxf>
    <dxf>
      <font>
        <b/>
      </font>
    </dxf>
    <dxf>
      <font>
        <b/>
      </font>
    </dxf>
    <dxf>
      <font>
        <b/>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ill>
        <patternFill patternType="solid">
          <bgColor rgb="FFFFFF00"/>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border>
        <bottom style="thin">
          <color indexed="64"/>
        </bottom>
      </border>
    </dxf>
    <dxf>
      <border>
        <bottom style="thin">
          <color indexed="64"/>
        </bottom>
      </border>
    </dxf>
    <dxf>
      <numFmt numFmtId="170" formatCode="#,##0.0"/>
    </dxf>
    <dxf>
      <font>
        <color auto="1"/>
      </font>
    </dxf>
    <dxf>
      <border>
        <left/>
      </border>
    </dxf>
    <dxf>
      <fill>
        <patternFill patternType="none">
          <bgColor auto="1"/>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68" formatCode="_(* #,##0.0_);_(* \(#,##0.0\);_(* &quot;-&quot;??_);_(@_)"/>
    </dxf>
    <dxf>
      <numFmt numFmtId="170" formatCode="#,##0.0"/>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top style="thin">
          <color indexed="64"/>
        </top>
        <bottom style="thin">
          <color indexed="64"/>
        </bottom>
      </border>
    </dxf>
    <dxf>
      <fill>
        <patternFill patternType="solid">
          <bgColor theme="5" tint="0.79998168889431442"/>
        </patternFill>
      </fill>
    </dxf>
    <dxf>
      <font>
        <b/>
      </font>
      <numFmt numFmtId="167" formatCode="0.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799981688894314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numFmt numFmtId="0" formatCode="General"/>
    </dxf>
    <dxf>
      <border>
        <bottom style="thin">
          <color indexed="64"/>
        </bottom>
      </border>
    </dxf>
    <dxf>
      <font>
        <b val="0"/>
      </font>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5" formatCode="_(* #,##0_);_(* \(#,##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border>
        <right style="thin">
          <color indexed="64"/>
        </right>
      </border>
    </dxf>
    <dxf>
      <border>
        <right style="thin">
          <color indexed="64"/>
        </right>
      </border>
    </dxf>
    <dxf>
      <border>
        <right style="thin">
          <color indexed="64"/>
        </right>
      </border>
    </dxf>
    <dxf>
      <numFmt numFmtId="166" formatCode="0.0%"/>
    </dxf>
    <dxf>
      <font>
        <b val="0"/>
      </font>
    </dxf>
    <dxf>
      <font>
        <b val="0"/>
      </font>
    </dxf>
    <dxf>
      <font>
        <b val="0"/>
      </font>
    </dxf>
    <dxf>
      <font>
        <b val="0"/>
      </font>
    </dxf>
    <dxf>
      <font>
        <b/>
      </font>
    </dxf>
    <dxf>
      <font>
        <b val="0"/>
      </font>
    </dxf>
    <dxf>
      <font>
        <b val="0"/>
      </font>
    </dxf>
    <dxf>
      <font>
        <b val="0"/>
      </font>
    </dxf>
    <dxf>
      <font>
        <b val="0"/>
      </font>
    </dxf>
    <dxf>
      <font>
        <b val="0"/>
      </font>
    </dxf>
    <dxf>
      <font>
        <b val="0"/>
      </font>
    </dxf>
    <dxf>
      <font>
        <b val="0"/>
      </font>
    </dxf>
    <dxf>
      <font>
        <b val="0"/>
      </font>
    </dxf>
    <dxf>
      <font>
        <b/>
      </font>
    </dxf>
    <dxf>
      <font>
        <b/>
      </font>
    </dxf>
    <dxf>
      <border>
        <right/>
        <top/>
        <vertical/>
      </border>
    </dxf>
    <dxf>
      <border>
        <left/>
        <right/>
        <top/>
        <vertical/>
      </border>
    </dxf>
    <dxf>
      <border>
        <left/>
        <top/>
      </border>
    </dxf>
    <dxf>
      <border>
        <right/>
      </border>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ont>
        <b/>
      </font>
    </dxf>
    <dxf>
      <font>
        <b/>
      </font>
    </dxf>
    <dxf>
      <font>
        <b/>
      </font>
    </dxf>
    <dxf>
      <font>
        <b/>
      </font>
    </dxf>
    <dxf>
      <font>
        <b/>
      </font>
    </dxf>
    <dxf>
      <font>
        <b/>
      </font>
    </dxf>
    <dxf>
      <font>
        <b/>
      </font>
    </dxf>
    <dxf>
      <font>
        <b/>
      </font>
    </dxf>
    <dxf>
      <font>
        <b/>
      </font>
    </dxf>
    <dxf>
      <font>
        <b/>
      </font>
    </dxf>
    <dxf>
      <font>
        <b/>
      </font>
    </dxf>
    <dxf>
      <fill>
        <patternFill patternType="none"/>
      </fill>
    </dxf>
    <dxf>
      <fill>
        <patternFill patternType="none"/>
      </fill>
    </dxf>
    <dxf>
      <fill>
        <patternFill patternType="solid">
          <bgColor indexed="13"/>
        </patternFill>
      </fill>
    </dxf>
    <dxf>
      <fill>
        <patternFill patternType="solid">
          <bgColor indexed="13"/>
        </patternFill>
      </fill>
    </dxf>
    <dxf>
      <border>
        <left style="thin">
          <color indexed="64"/>
        </left>
      </border>
    </dxf>
    <dxf>
      <border>
        <left style="thin">
          <color indexed="64"/>
        </left>
      </border>
    </dxf>
    <dxf>
      <border>
        <left/>
      </border>
    </dxf>
    <dxf>
      <border>
        <left/>
      </border>
    </dxf>
    <dxf>
      <border>
        <left/>
      </border>
    </dxf>
    <dxf>
      <border>
        <left/>
      </border>
    </dxf>
    <dxf>
      <border>
        <left/>
      </border>
    </dxf>
    <dxf>
      <font>
        <b/>
      </font>
      <numFmt numFmtId="170" formatCode="#,##0.0"/>
    </dxf>
    <dxf>
      <border>
        <left/>
      </border>
    </dxf>
    <dxf>
      <border>
        <left/>
      </border>
    </dxf>
    <dxf>
      <font>
        <b/>
      </font>
      <numFmt numFmtId="170" formatCode="#,##0.0"/>
    </dxf>
    <dxf>
      <font>
        <b/>
      </font>
      <numFmt numFmtId="170" formatCode="#,##0.0"/>
    </dxf>
    <dxf>
      <font>
        <b/>
      </font>
      <numFmt numFmtId="170" formatCode="#,##0.0"/>
    </dxf>
    <dxf>
      <font>
        <b/>
      </font>
    </dxf>
    <dxf>
      <font>
        <b/>
      </font>
    </dxf>
    <dxf>
      <font>
        <b/>
      </font>
    </dxf>
    <dxf>
      <numFmt numFmtId="166" formatCode="0.0%"/>
    </dxf>
    <dxf>
      <numFmt numFmtId="166"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none"/>
      </fill>
    </dxf>
    <dxf>
      <fill>
        <patternFill patternType="none"/>
      </fill>
    </dxf>
    <dxf>
      <fill>
        <patternFill patternType="solid">
          <bgColor indexed="13"/>
        </patternFill>
      </fill>
    </dxf>
    <dxf>
      <fill>
        <patternFill patternType="solid">
          <bgColor indexed="13"/>
        </patternFill>
      </fill>
    </dxf>
    <dxf>
      <font>
        <b/>
      </font>
      <numFmt numFmtId="167" formatCode="0.0"/>
    </dxf>
    <dxf>
      <fill>
        <patternFill patternType="solid">
          <bgColor indexed="13"/>
        </patternFill>
      </fill>
    </dxf>
    <dxf>
      <fill>
        <patternFill patternType="solid">
          <bgColor indexed="13"/>
        </patternFill>
      </fill>
    </dxf>
    <dxf>
      <font>
        <b/>
      </font>
    </dxf>
    <dxf>
      <fill>
        <patternFill patternType="solid">
          <bgColor indexed="13"/>
        </patternFill>
      </fill>
    </dxf>
    <dxf>
      <fill>
        <patternFill patternType="solid">
          <bgColor indexed="13"/>
        </patternFill>
      </fill>
    </dxf>
    <dxf>
      <font>
        <b/>
      </font>
    </dxf>
    <dxf>
      <font>
        <b/>
      </font>
    </dxf>
    <dxf>
      <font>
        <b/>
      </font>
    </dxf>
    <dxf>
      <font>
        <b/>
      </font>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68" formatCode="_(* #,##0.0_);_(* \(#,##0.0\);_(* &quot;-&quot;??_);_(@_)"/>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numFmt numFmtId="166" formatCode="0.0%"/>
    </dxf>
    <dxf>
      <numFmt numFmtId="166" formatCode="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166" formatCode="0.0%"/>
    </dxf>
    <dxf>
      <border>
        <left style="thin">
          <color indexed="64"/>
        </left>
        <bottom style="thin">
          <color indexed="64"/>
        </bottom>
      </border>
    </dxf>
    <dxf>
      <border>
        <right style="thin">
          <color indexed="64"/>
        </right>
        <bottom style="thin">
          <color indexed="64"/>
        </bottom>
      </border>
    </dxf>
    <dxf>
      <border>
        <left style="thin">
          <color indexed="64"/>
        </left>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0.0%"/>
    </dxf>
    <dxf>
      <border>
        <left style="thin">
          <color indexed="64"/>
        </left>
        <right style="thin">
          <color indexed="64"/>
        </right>
        <top style="thin">
          <color indexed="64"/>
        </top>
        <bottom style="thin">
          <color indexed="64"/>
        </bottom>
      </border>
    </dxf>
    <dxf>
      <numFmt numFmtId="166" formatCode="0.0%"/>
    </dxf>
    <dxf>
      <border>
        <left style="thin">
          <color indexed="64"/>
        </left>
        <right style="thin">
          <color indexed="64"/>
        </right>
        <top style="thin">
          <color indexed="64"/>
        </top>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numFmt numFmtId="14" formatCode="0.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bottom style="thin">
          <color indexed="64"/>
        </bottom>
      </border>
    </dxf>
    <dxf>
      <border>
        <bottom style="thin">
          <color indexed="64"/>
        </bottom>
      </border>
    </dxf>
    <dxf>
      <numFmt numFmtId="166" formatCode="0.0%"/>
    </dxf>
    <dxf>
      <numFmt numFmtId="166"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fill>
        <patternFill patternType="solid">
          <bgColor indexed="43"/>
        </patternFill>
      </fill>
    </dxf>
    <dxf>
      <border>
        <bottom style="thin">
          <color indexed="8"/>
        </bottom>
      </border>
    </dxf>
    <dxf>
      <border>
        <bottom style="thin">
          <color indexed="8"/>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1" formatCode="0.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71" formatCode="0.000%"/>
    </dxf>
    <dxf>
      <numFmt numFmtId="14" formatCode="0.00%"/>
    </dxf>
    <dxf>
      <numFmt numFmtId="14" formatCode="0.00%"/>
    </dxf>
    <dxf>
      <numFmt numFmtId="166" formatCode="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4" formatCode="0.00%"/>
    </dxf>
    <dxf>
      <numFmt numFmtId="171" formatCode="0.000%"/>
    </dxf>
    <dxf>
      <numFmt numFmtId="171" formatCode="0.000%"/>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numFmt numFmtId="171" formatCode="0.000%"/>
    </dxf>
    <dxf>
      <numFmt numFmtId="14" formatCode="0.00%"/>
    </dxf>
    <dxf>
      <numFmt numFmtId="171" formatCode="0.000%"/>
    </dxf>
    <dxf>
      <numFmt numFmtId="14" formatCode="0.00%"/>
    </dxf>
    <dxf>
      <font>
        <b/>
      </font>
    </dxf>
    <dxf>
      <font>
        <b/>
      </font>
    </dxf>
    <dxf>
      <font>
        <b/>
      </font>
    </dxf>
    <dxf>
      <font>
        <b/>
      </font>
    </dxf>
    <dxf>
      <font>
        <b/>
      </font>
    </dxf>
    <dxf>
      <font>
        <b/>
      </font>
    </dxf>
    <dxf>
      <font>
        <b/>
      </font>
    </dxf>
    <dxf>
      <font>
        <b/>
      </font>
    </dxf>
    <dxf>
      <font>
        <b/>
      </font>
    </dxf>
    <dxf>
      <font>
        <b/>
      </font>
    </dxf>
    <dxf>
      <font>
        <b/>
      </font>
    </dxf>
    <dxf>
      <font>
        <b/>
      </font>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numFmt numFmtId="170" formatCode="#,##0.0"/>
    </dxf>
    <dxf>
      <border>
        <left style="medium">
          <color indexed="64"/>
        </left>
        <right style="medium">
          <color indexed="64"/>
        </right>
      </border>
    </dxf>
    <dxf>
      <numFmt numFmtId="171" formatCode="0.000%"/>
    </dxf>
    <dxf>
      <border>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border>
        <bottom style="thin">
          <color indexed="64"/>
        </bottom>
      </border>
    </dxf>
    <dxf>
      <border>
        <top/>
      </border>
    </dxf>
    <dxf>
      <fill>
        <patternFill patternType="none"/>
      </fill>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font>
        <b val="0"/>
      </font>
    </dxf>
    <dxf>
      <font>
        <b val="0"/>
      </font>
    </dxf>
    <dxf>
      <font>
        <b val="0"/>
      </font>
    </dxf>
    <dxf>
      <border>
        <top style="thin">
          <color indexed="8"/>
        </top>
        <bottom/>
      </border>
    </dxf>
    <dxf>
      <font>
        <b/>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FFFFCC"/>
      <color rgb="FF0000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0527.41469085648" createdVersion="3" refreshedVersion="3" minRefreshableVersion="3" recordCount="530">
  <cacheSource type="worksheet">
    <worksheetSource ref="A5:AG44" sheet="E-learning credit hours"/>
  </cacheSource>
  <cacheFields count="73">
    <cacheField name="State" numFmtId="49">
      <sharedItems containsBlank="1" count="17">
        <s v="AL"/>
        <s v="AR"/>
        <s v="DE"/>
        <s v="FL"/>
        <s v="GA"/>
        <s v="KY"/>
        <s v="LA"/>
        <s v="MD"/>
        <s v="MS"/>
        <s v="NC"/>
        <s v="OK"/>
        <s v="SC"/>
        <s v="TN"/>
        <s v="TX"/>
        <s v="VA"/>
        <s v="WV"/>
        <m u="1"/>
      </sharedItems>
    </cacheField>
    <cacheField name="Institution" numFmtId="0">
      <sharedItems/>
    </cacheField>
    <cacheField name="ID" numFmtId="49">
      <sharedItems containsBlank="1" containsMixedTypes="1" containsNumber="1" containsInteger="1" minValue="100654" maxValue="447582"/>
    </cacheField>
    <cacheField name="type" numFmtId="0">
      <sharedItems containsMixedTypes="1" containsNumber="1" containsInteger="1" minValue="1" maxValue="16" count="16">
        <n v="1"/>
        <n v="2"/>
        <n v="3"/>
        <n v="4"/>
        <n v="5"/>
        <n v="6"/>
        <n v="8"/>
        <n v="9"/>
        <n v="10"/>
        <n v="12"/>
        <n v="13"/>
        <n v="7"/>
        <n v="15"/>
        <s v="15"/>
        <n v="14" u="1"/>
        <n v="16" u="1"/>
      </sharedItems>
      <fieldGroup par="32"/>
    </cacheField>
    <cacheField name="OLD-Tot UG SCH Calc" numFmtId="0">
      <sharedItems containsString="0" containsBlank="1" containsNumber="1" minValue="0" maxValue="1354186"/>
    </cacheField>
    <cacheField name="NEW-Tot UG SCH Calc" numFmtId="0">
      <sharedItems containsString="0" containsBlank="1" containsNumber="1" minValue="0" maxValue="1463404"/>
    </cacheField>
    <cacheField name="Old-UG OnC Trad" numFmtId="165">
      <sharedItems containsString="0" containsBlank="1" containsNumber="1" minValue="0" maxValue="1255089"/>
    </cacheField>
    <cacheField name="New-UG OnC Trad" numFmtId="165">
      <sharedItems containsString="0" containsBlank="1" containsNumber="1" minValue="0" maxValue="1341835"/>
    </cacheField>
    <cacheField name="Old-UG OffC Trad" numFmtId="165">
      <sharedItems containsString="0" containsBlank="1" containsNumber="1" minValue="0" maxValue="249759"/>
    </cacheField>
    <cacheField name="New-UG OffC Trad" numFmtId="165">
      <sharedItems containsString="0" containsBlank="1" containsNumber="1" minValue="0" maxValue="270782"/>
    </cacheField>
    <cacheField name="Old-UG EL Web" numFmtId="165">
      <sharedItems containsString="0" containsBlank="1" containsNumber="1" minValue="0" maxValue="293250"/>
    </cacheField>
    <cacheField name="Old-UG EL CV" numFmtId="165">
      <sharedItems containsBlank="1" containsMixedTypes="1" containsNumber="1" minValue="0" maxValue="31714"/>
    </cacheField>
    <cacheField name="Old-UG EL O" numFmtId="165">
      <sharedItems containsString="0" containsBlank="1" containsNumber="1" minValue="0" maxValue="159286"/>
    </cacheField>
    <cacheField name="New-UG EL Web" numFmtId="165">
      <sharedItems containsString="0" containsBlank="1" containsNumber="1" minValue="0" maxValue="328772"/>
    </cacheField>
    <cacheField name="New-UG EL CV" numFmtId="165">
      <sharedItems containsBlank="1" containsMixedTypes="1" containsNumber="1" minValue="0" maxValue="56992"/>
    </cacheField>
    <cacheField name="New-UG EL O" numFmtId="165">
      <sharedItems containsBlank="1" containsMixedTypes="1" containsNumber="1" minValue="0" maxValue="166889"/>
    </cacheField>
    <cacheField name="Old-UG Cor" numFmtId="165">
      <sharedItems containsString="0" containsBlank="1" containsNumber="1" containsInteger="1" minValue="0" maxValue="13836"/>
    </cacheField>
    <cacheField name="New-UG Cor" numFmtId="165">
      <sharedItems containsString="0" containsBlank="1" containsNumber="1" containsInteger="1" minValue="0" maxValue="12175"/>
    </cacheField>
    <cacheField name="Old-Tot G SCH Calc" numFmtId="165">
      <sharedItems containsSemiMixedTypes="0" containsString="0" containsNumber="1" minValue="0" maxValue="410385"/>
    </cacheField>
    <cacheField name="New-Tot G SCH Calc" numFmtId="165">
      <sharedItems containsSemiMixedTypes="0" containsString="0" containsNumber="1" minValue="0" maxValue="357375"/>
    </cacheField>
    <cacheField name="Old-G OnC Trad" numFmtId="165">
      <sharedItems containsString="0" containsBlank="1" containsNumber="1" minValue="2" maxValue="331415"/>
    </cacheField>
    <cacheField name="New-G OnC Trad" numFmtId="165">
      <sharedItems containsString="0" containsBlank="1" containsNumber="1" minValue="0" maxValue="289789"/>
    </cacheField>
    <cacheField name="Old-G OffC Trad" numFmtId="165">
      <sharedItems containsString="0" containsBlank="1" containsNumber="1" minValue="0" maxValue="39085"/>
    </cacheField>
    <cacheField name="New-G OffC Trad" numFmtId="165">
      <sharedItems containsString="0" containsBlank="1" containsNumber="1" minValue="0" maxValue="40412"/>
    </cacheField>
    <cacheField name="Old-G EL Web" numFmtId="165">
      <sharedItems containsString="0" containsBlank="1" containsNumber="1" minValue="0" maxValue="103308"/>
    </cacheField>
    <cacheField name="Old-G EL CV" numFmtId="165">
      <sharedItems containsString="0" containsBlank="1" containsNumber="1" minValue="0" maxValue="3369"/>
    </cacheField>
    <cacheField name="Old-G EL O" numFmtId="165">
      <sharedItems containsBlank="1" containsMixedTypes="1" containsNumber="1" containsInteger="1" minValue="0" maxValue="53685"/>
    </cacheField>
    <cacheField name="New-G EL Web" numFmtId="165">
      <sharedItems containsString="0" containsBlank="1" containsNumber="1" containsInteger="1" minValue="0" maxValue="154415"/>
    </cacheField>
    <cacheField name="New-G EL CV" numFmtId="165">
      <sharedItems containsString="0" containsBlank="1" containsNumber="1" containsInteger="1" minValue="0" maxValue="3339"/>
    </cacheField>
    <cacheField name="New-G EL O" numFmtId="165">
      <sharedItems containsString="0" containsBlank="1" containsNumber="1" containsInteger="1" minValue="0" maxValue="78549"/>
    </cacheField>
    <cacheField name="Old-G Cor" numFmtId="165">
      <sharedItems containsString="0" containsBlank="1" containsNumber="1" containsInteger="1" minValue="0" maxValue="7469"/>
    </cacheField>
    <cacheField name="New-G Cor" numFmtId="165">
      <sharedItems containsString="0" containsBlank="1" containsNumber="1" containsInteger="1" minValue="0" maxValue="5852"/>
    </cacheField>
    <cacheField name="Type2" numFmtId="0" databaseField="0">
      <fieldGroup base="3">
        <discretePr count="16">
          <x v="2"/>
          <x v="2"/>
          <x v="2"/>
          <x v="2"/>
          <x v="2"/>
          <x v="2"/>
          <x v="1"/>
          <x v="1"/>
          <x v="1"/>
          <x v="3"/>
          <x v="3"/>
          <x v="1"/>
          <x v="2"/>
          <x v="4"/>
          <x v="3"/>
          <x v="0"/>
        </discretePr>
        <groupItems count="5">
          <n v="16"/>
          <s v="Group2"/>
          <s v="Group1"/>
          <s v="Group3"/>
          <s v="15"/>
        </groupItems>
      </fieldGroup>
    </cacheField>
    <cacheField name="Old %UG OnC Trad" numFmtId="0" formula="IF('OLD-Tot UG SCH Calc'&gt;0,'Old-UG OnC Trad'/'OLD-Tot UG SCH Calc',)" databaseField="0"/>
    <cacheField name="New %UG OnC Trad" numFmtId="0" formula="IF('NEW-Tot UG SCH Calc'&gt;0,'New-UG OnC Trad'/'NEW-Tot UG SCH Calc',)" databaseField="0"/>
    <cacheField name="New %UG OffC Trad" numFmtId="0" formula="IF('NEW-Tot UG SCH Calc'&gt;0,'New-UG OffC Trad'/'NEW-Tot UG SCH Calc',)" databaseField="0"/>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s>
</pivotCacheDefinition>
</file>

<file path=xl/pivotCache/pivotCacheDefinition2.xml><?xml version="1.0" encoding="utf-8"?>
<pivotCacheDefinition xmlns="http://schemas.openxmlformats.org/spreadsheetml/2006/main" xmlns:r="http://schemas.openxmlformats.org/officeDocument/2006/relationships" r:id="rId1" refreshedBy="jmarks" refreshedDate="40885.424987384256" createdVersion="3" refreshedVersion="3" minRefreshableVersion="3" recordCount="675">
  <cacheSource type="worksheet">
    <worksheetSource ref="A5:AG680" sheet="E-learning credit hours"/>
  </cacheSource>
  <cacheFields count="74">
    <cacheField name="State" numFmtId="49">
      <sharedItems count="16">
        <s v="AL"/>
        <s v="AR"/>
        <s v="DE"/>
        <s v="FL"/>
        <s v="GA"/>
        <s v="KY"/>
        <s v="LA"/>
        <s v="MD"/>
        <s v="MS"/>
        <s v="NC"/>
        <s v="OK"/>
        <s v="SC"/>
        <s v="TN"/>
        <s v="TX"/>
        <s v="VA"/>
        <s v="WV"/>
      </sharedItems>
    </cacheField>
    <cacheField name="Institution" numFmtId="0">
      <sharedItems/>
    </cacheField>
    <cacheField name="Note" numFmtId="0">
      <sharedItems containsBlank="1"/>
    </cacheField>
    <cacheField name="ID" numFmtId="0">
      <sharedItems containsBlank="1" containsMixedTypes="1" containsNumber="1" containsInteger="1" minValue="100654" maxValue="456560"/>
    </cacheField>
    <cacheField name="type" numFmtId="0">
      <sharedItems containsSemiMixedTypes="0" containsString="0" containsNumber="1" containsInteger="1" minValue="1" maxValue="99" count="16">
        <n v="1"/>
        <n v="2"/>
        <n v="3"/>
        <n v="4"/>
        <n v="5"/>
        <n v="6"/>
        <n v="8"/>
        <n v="9"/>
        <n v="10"/>
        <n v="12"/>
        <n v="13"/>
        <n v="7"/>
        <n v="99"/>
        <n v="15"/>
        <n v="14" u="1"/>
        <n v="16" u="1"/>
      </sharedItems>
      <fieldGroup par="33"/>
    </cacheField>
    <cacheField name="OLD-Tot UG SCH Calc" numFmtId="3">
      <sharedItems containsString="0" containsBlank="1" containsNumber="1" minValue="0" maxValue="1463404"/>
    </cacheField>
    <cacheField name="NEW-Tot UG SCH Calc" numFmtId="3">
      <sharedItems containsString="0" containsBlank="1" containsNumber="1" minValue="0" maxValue="1571735"/>
    </cacheField>
    <cacheField name="Old-UG OnC Trad" numFmtId="0">
      <sharedItems containsString="0" containsBlank="1" containsNumber="1" minValue="0" maxValue="1341835"/>
    </cacheField>
    <cacheField name="New-UG OnC Trad" numFmtId="0">
      <sharedItems containsString="0" containsBlank="1" containsNumber="1" minValue="0" maxValue="1423962"/>
    </cacheField>
    <cacheField name="Old-UG OffC Trad" numFmtId="0">
      <sharedItems containsBlank="1" containsMixedTypes="1" containsNumber="1" containsInteger="1" minValue="0" maxValue="270782"/>
    </cacheField>
    <cacheField name="New-UG OffC Trad" numFmtId="0">
      <sharedItems containsString="0" containsBlank="1" containsNumber="1" minValue="0" maxValue="273747"/>
    </cacheField>
    <cacheField name="Old-UG EL Web" numFmtId="0">
      <sharedItems containsString="0" containsBlank="1" containsNumber="1" minValue="0" maxValue="328772"/>
    </cacheField>
    <cacheField name="Old-UG EL CV" numFmtId="0">
      <sharedItems containsBlank="1" containsMixedTypes="1" containsNumber="1" containsInteger="1" minValue="0" maxValue="56992"/>
    </cacheField>
    <cacheField name="Old-UG EL O" numFmtId="0">
      <sharedItems containsBlank="1" containsMixedTypes="1" containsNumber="1" containsInteger="1" minValue="0" maxValue="166889"/>
    </cacheField>
    <cacheField name="New-UG EL Web" numFmtId="0">
      <sharedItems containsString="0" containsBlank="1" containsNumber="1" minValue="0" maxValue="365434"/>
    </cacheField>
    <cacheField name="New-UG EL CV" numFmtId="0">
      <sharedItems containsBlank="1" containsMixedTypes="1" containsNumber="1" containsInteger="1" minValue="0" maxValue="34806"/>
    </cacheField>
    <cacheField name="New-UG EL O" numFmtId="0">
      <sharedItems containsString="0" containsBlank="1" containsNumber="1" containsInteger="1" minValue="0" maxValue="155687"/>
    </cacheField>
    <cacheField name="Old-UG Cor" numFmtId="0">
      <sharedItems containsString="0" containsBlank="1" containsNumber="1" containsInteger="1" minValue="0" maxValue="12146"/>
    </cacheField>
    <cacheField name="New-UG Cor" numFmtId="0">
      <sharedItems containsString="0" containsBlank="1" containsNumber="1" containsInteger="1" minValue="0" maxValue="15618"/>
    </cacheField>
    <cacheField name="Old-Tot G SCH Calc" numFmtId="3">
      <sharedItems containsString="0" containsBlank="1" containsNumber="1" minValue="0" maxValue="357375"/>
    </cacheField>
    <cacheField name="New-Tot G SCH Calc" numFmtId="3">
      <sharedItems containsString="0" containsBlank="1" containsNumber="1" minValue="0" maxValue="357500"/>
    </cacheField>
    <cacheField name="Old-G OnC Trad" numFmtId="0">
      <sharedItems containsString="0" containsBlank="1" containsNumber="1" minValue="0" maxValue="289789"/>
    </cacheField>
    <cacheField name="New-G OnC Trad" numFmtId="0">
      <sharedItems containsString="0" containsBlank="1" containsNumber="1" minValue="0" maxValue="268094"/>
    </cacheField>
    <cacheField name="Old-G OffC Trad" numFmtId="0">
      <sharedItems containsString="0" containsBlank="1" containsNumber="1" minValue="0" maxValue="40412"/>
    </cacheField>
    <cacheField name="New-G OffC Trad" numFmtId="0">
      <sharedItems containsString="0" containsBlank="1" containsNumber="1" minValue="0" maxValue="35031"/>
    </cacheField>
    <cacheField name="Old-G EL Web" numFmtId="0">
      <sharedItems containsString="0" containsBlank="1" containsNumber="1" containsInteger="1" minValue="0" maxValue="154415"/>
    </cacheField>
    <cacheField name="Old-G EL CV" numFmtId="0">
      <sharedItems containsString="0" containsBlank="1" containsNumber="1" containsInteger="1" minValue="0" maxValue="3339"/>
    </cacheField>
    <cacheField name="Old-G EL O" numFmtId="0">
      <sharedItems containsString="0" containsBlank="1" containsNumber="1" containsInteger="1" minValue="0" maxValue="78549"/>
    </cacheField>
    <cacheField name="New-G EL Web" numFmtId="0">
      <sharedItems containsString="0" containsBlank="1" containsNumber="1" minValue="0" maxValue="173875"/>
    </cacheField>
    <cacheField name="New-G EL CV" numFmtId="0">
      <sharedItems containsString="0" containsBlank="1" containsNumber="1" minValue="0" maxValue="11811"/>
    </cacheField>
    <cacheField name="New-G EL O" numFmtId="0">
      <sharedItems containsString="0" containsBlank="1" containsNumber="1" containsInteger="1" minValue="0" maxValue="46428"/>
    </cacheField>
    <cacheField name="Old-G Cor" numFmtId="0">
      <sharedItems containsString="0" containsBlank="1" containsNumber="1" containsInteger="1" minValue="0" maxValue="5852"/>
    </cacheField>
    <cacheField name="New-G Cor" numFmtId="0">
      <sharedItems containsString="0" containsBlank="1" containsNumber="1" containsInteger="1" minValue="0" maxValue="5639"/>
    </cacheField>
    <cacheField name="Type2" numFmtId="0" databaseField="0">
      <fieldGroup base="4">
        <discretePr count="16">
          <x v="2"/>
          <x v="2"/>
          <x v="2"/>
          <x v="2"/>
          <x v="2"/>
          <x v="2"/>
          <x v="1"/>
          <x v="1"/>
          <x v="1"/>
          <x v="3"/>
          <x v="3"/>
          <x v="1"/>
          <x v="4"/>
          <x v="2"/>
          <x v="3"/>
          <x v="0"/>
        </discretePr>
        <groupItems count="5">
          <n v="16"/>
          <s v="Group2"/>
          <s v="Group1"/>
          <s v="Group3"/>
          <n v="99"/>
        </groupItems>
      </fieldGroup>
    </cacheField>
    <cacheField name="Old %UG OnC Trad" numFmtId="0" formula="IF('OLD-Tot UG SCH Calc'&gt;0,'Old-UG OnC Trad'/'OLD-Tot UG SCH Calc',)" databaseField="0"/>
    <cacheField name="New %UG OnC Trad" numFmtId="0" formula="IF('NEW-Tot UG SCH Calc'&gt;0,'New-UG OnC Trad'/'NEW-Tot UG SCH Calc',)" databaseField="0"/>
    <cacheField name="New %UG OffC Trad" numFmtId="0" formula="IF('NEW-Tot UG SCH Calc'&gt;0,'New-UG OffC Trad'/'NEW-Tot UG SCH Calc',)" databaseField="0"/>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s>
</pivotCacheDefinition>
</file>

<file path=xl/pivotCache/pivotCacheRecords1.xml><?xml version="1.0" encoding="utf-8"?>
<pivotCacheRecords xmlns="http://schemas.openxmlformats.org/spreadsheetml/2006/main" xmlns:r="http://schemas.openxmlformats.org/officeDocument/2006/relationships" count="530">
  <r>
    <x v="0"/>
    <s v="Auburn University"/>
    <n v="100858"/>
    <x v="0"/>
    <n v="577366"/>
    <n v="574277"/>
    <n v="573530"/>
    <n v="569896"/>
    <n v="178"/>
    <n v="116"/>
    <n v="1790"/>
    <m/>
    <n v="1839"/>
    <n v="2705"/>
    <m/>
    <n v="1560"/>
    <n v="29"/>
    <m/>
    <n v="83821"/>
    <n v="66819"/>
    <n v="74262"/>
    <n v="56999"/>
    <m/>
    <n v="170"/>
    <n v="2337"/>
    <n v="716"/>
    <n v="6506"/>
    <n v="2666"/>
    <m/>
    <n v="6984"/>
    <m/>
    <m/>
  </r>
  <r>
    <x v="0"/>
    <s v="University of Alabama "/>
    <n v="100751"/>
    <x v="0"/>
    <n v="636100"/>
    <n v="672971"/>
    <n v="601571"/>
    <n v="632701"/>
    <n v="122"/>
    <n v="720"/>
    <n v="33599"/>
    <n v="604"/>
    <n v="0"/>
    <n v="38860"/>
    <n v="666"/>
    <m/>
    <n v="204"/>
    <n v="24"/>
    <n v="88589"/>
    <n v="91700"/>
    <n v="72608"/>
    <n v="72378"/>
    <n v="6455"/>
    <n v="5333"/>
    <n v="8911"/>
    <n v="615"/>
    <m/>
    <n v="13317"/>
    <n v="669"/>
    <m/>
    <m/>
    <n v="3"/>
  </r>
  <r>
    <x v="0"/>
    <s v="University of Alabama at Birmingham"/>
    <n v="100663"/>
    <x v="0"/>
    <n v="251683"/>
    <n v="253515"/>
    <n v="240585"/>
    <n v="239256"/>
    <n v="230"/>
    <n v="218"/>
    <n v="10868"/>
    <m/>
    <m/>
    <n v="13990"/>
    <n v="51"/>
    <m/>
    <m/>
    <m/>
    <n v="43272"/>
    <n v="44582"/>
    <n v="41345"/>
    <n v="41301"/>
    <n v="567"/>
    <n v="377"/>
    <n v="1333"/>
    <n v="27"/>
    <m/>
    <n v="2739"/>
    <n v="165"/>
    <m/>
    <m/>
    <m/>
  </r>
  <r>
    <x v="0"/>
    <s v="University of Alabama in Huntsville"/>
    <n v="100706"/>
    <x v="1"/>
    <n v="149784"/>
    <n v="157888"/>
    <n v="147660"/>
    <n v="156797"/>
    <m/>
    <m/>
    <n v="2124"/>
    <m/>
    <m/>
    <n v="1091"/>
    <m/>
    <m/>
    <m/>
    <m/>
    <n v="21246"/>
    <n v="21141"/>
    <n v="18605"/>
    <n v="17831"/>
    <m/>
    <m/>
    <n v="2626"/>
    <m/>
    <n v="15"/>
    <n v="3295"/>
    <m/>
    <n v="15"/>
    <m/>
    <m/>
  </r>
  <r>
    <x v="0"/>
    <s v="Alabama Agricultural &amp; Mechanical University"/>
    <n v="100654"/>
    <x v="2"/>
    <n v="135231"/>
    <n v="134580"/>
    <n v="135231"/>
    <n v="134580"/>
    <m/>
    <m/>
    <m/>
    <m/>
    <m/>
    <m/>
    <m/>
    <m/>
    <m/>
    <m/>
    <n v="0"/>
    <n v="0"/>
    <m/>
    <m/>
    <m/>
    <m/>
    <m/>
    <m/>
    <m/>
    <m/>
    <m/>
    <m/>
    <m/>
    <m/>
  </r>
  <r>
    <x v="0"/>
    <s v="Jacksonville State University "/>
    <n v="101480"/>
    <x v="2"/>
    <n v="205495"/>
    <n v="199573"/>
    <n v="172339"/>
    <n v="161404"/>
    <n v="2278"/>
    <n v="4611"/>
    <n v="28639"/>
    <n v="2239"/>
    <m/>
    <n v="32156"/>
    <n v="1402"/>
    <m/>
    <m/>
    <m/>
    <n v="21752"/>
    <n v="25211"/>
    <n v="11668"/>
    <n v="15763"/>
    <n v="60"/>
    <n v="96"/>
    <n v="9562"/>
    <n v="462"/>
    <m/>
    <n v="9352"/>
    <m/>
    <m/>
    <m/>
    <m/>
  </r>
  <r>
    <x v="0"/>
    <s v="Troy University"/>
    <n v="102368"/>
    <x v="2"/>
    <n v="303688"/>
    <n v="331279"/>
    <n v="228151"/>
    <n v="238849"/>
    <n v="4587"/>
    <n v="4110"/>
    <n v="67748"/>
    <n v="18"/>
    <n v="3112"/>
    <n v="84495"/>
    <n v="168"/>
    <n v="3615"/>
    <n v="72"/>
    <n v="42"/>
    <n v="52790"/>
    <n v="46083"/>
    <n v="37498"/>
    <n v="29945"/>
    <n v="2472"/>
    <n v="1702"/>
    <n v="10242"/>
    <n v="142"/>
    <n v="2436"/>
    <n v="10854"/>
    <n v="239"/>
    <n v="3343"/>
    <m/>
    <m/>
  </r>
  <r>
    <x v="0"/>
    <s v="University of South Alabama"/>
    <n v="102094"/>
    <x v="2"/>
    <n v="258116"/>
    <n v="265603"/>
    <n v="250624"/>
    <n v="254116"/>
    <n v="466"/>
    <n v="414"/>
    <n v="7026"/>
    <m/>
    <m/>
    <n v="11073"/>
    <m/>
    <m/>
    <m/>
    <m/>
    <n v="21130"/>
    <n v="18777"/>
    <n v="18170"/>
    <n v="14431"/>
    <m/>
    <m/>
    <n v="2960"/>
    <m/>
    <m/>
    <n v="4346"/>
    <m/>
    <m/>
    <m/>
    <m/>
  </r>
  <r>
    <x v="0"/>
    <s v="Alabama State University "/>
    <n v="100724"/>
    <x v="3"/>
    <n v="140544"/>
    <n v="142331"/>
    <n v="140070"/>
    <n v="141530"/>
    <m/>
    <m/>
    <n v="474"/>
    <m/>
    <m/>
    <n v="801"/>
    <m/>
    <m/>
    <m/>
    <m/>
    <n v="17316"/>
    <n v="16880"/>
    <n v="14537"/>
    <n v="14046"/>
    <n v="1722"/>
    <n v="1106"/>
    <n v="799"/>
    <n v="258"/>
    <m/>
    <n v="1383"/>
    <n v="345"/>
    <m/>
    <m/>
    <m/>
  </r>
  <r>
    <x v="0"/>
    <s v="Auburn University at Montgomery"/>
    <n v="100830"/>
    <x v="3"/>
    <n v="113759"/>
    <n v="117469"/>
    <n v="107436"/>
    <n v="109377"/>
    <n v="1990"/>
    <n v="2370"/>
    <n v="4333"/>
    <m/>
    <m/>
    <n v="5722"/>
    <m/>
    <m/>
    <m/>
    <m/>
    <n v="13324"/>
    <n v="13716.5"/>
    <n v="11555"/>
    <n v="11827.5"/>
    <n v="516"/>
    <n v="369"/>
    <n v="1253"/>
    <m/>
    <m/>
    <n v="1520"/>
    <m/>
    <m/>
    <m/>
    <m/>
  </r>
  <r>
    <x v="0"/>
    <s v="University of North Alabama"/>
    <n v="101879"/>
    <x v="3"/>
    <n v="153110"/>
    <n v="153235"/>
    <n v="134940"/>
    <n v="132460"/>
    <m/>
    <m/>
    <n v="18170"/>
    <m/>
    <m/>
    <n v="20775"/>
    <m/>
    <m/>
    <m/>
    <m/>
    <n v="23387"/>
    <n v="16191"/>
    <n v="15941"/>
    <n v="9101"/>
    <m/>
    <m/>
    <n v="7446"/>
    <m/>
    <m/>
    <n v="7090"/>
    <m/>
    <m/>
    <m/>
    <m/>
  </r>
  <r>
    <x v="0"/>
    <s v="University of Montevallo"/>
    <n v="101709"/>
    <x v="4"/>
    <n v="71378"/>
    <n v="73452"/>
    <n v="71378"/>
    <n v="73452"/>
    <n v="0"/>
    <n v="0"/>
    <n v="0"/>
    <n v="0"/>
    <n v="0"/>
    <n v="0"/>
    <n v="0"/>
    <n v="0"/>
    <n v="0"/>
    <n v="0"/>
    <n v="7731"/>
    <n v="8675"/>
    <n v="7240"/>
    <n v="8546"/>
    <n v="491"/>
    <n v="129"/>
    <n v="0"/>
    <n v="0"/>
    <n v="0"/>
    <n v="0"/>
    <m/>
    <m/>
    <m/>
    <m/>
  </r>
  <r>
    <x v="0"/>
    <s v="University of West Alabama"/>
    <n v="101587"/>
    <x v="4"/>
    <n v="50070"/>
    <n v="52099"/>
    <n v="46911"/>
    <n v="48536"/>
    <n v="10"/>
    <n v="142"/>
    <n v="3149"/>
    <m/>
    <m/>
    <n v="3421"/>
    <m/>
    <m/>
    <m/>
    <m/>
    <n v="41822"/>
    <n v="86325"/>
    <n v="5361"/>
    <n v="42076"/>
    <n v="332"/>
    <n v="93"/>
    <n v="36129"/>
    <m/>
    <m/>
    <n v="44156"/>
    <m/>
    <m/>
    <m/>
    <m/>
  </r>
  <r>
    <x v="0"/>
    <s v="Athens State University"/>
    <n v="100812"/>
    <x v="5"/>
    <n v="79691"/>
    <n v="83699"/>
    <n v="20672"/>
    <n v="21333"/>
    <n v="4348"/>
    <n v="3807"/>
    <n v="54671"/>
    <m/>
    <m/>
    <n v="58559"/>
    <m/>
    <m/>
    <m/>
    <m/>
    <n v="0"/>
    <n v="0"/>
    <m/>
    <m/>
    <m/>
    <m/>
    <m/>
    <m/>
    <m/>
    <m/>
    <m/>
    <m/>
    <m/>
    <m/>
  </r>
  <r>
    <x v="0"/>
    <s v="Jefferson State Community College"/>
    <n v="101505"/>
    <x v="6"/>
    <n v="170457"/>
    <n v="179083"/>
    <n v="128110"/>
    <n v="125716"/>
    <n v="16470"/>
    <n v="20057"/>
    <n v="24535"/>
    <n v="1342"/>
    <n v="0"/>
    <n v="31786"/>
    <n v="1524"/>
    <m/>
    <m/>
    <m/>
    <n v="0"/>
    <n v="0"/>
    <m/>
    <m/>
    <m/>
    <m/>
    <m/>
    <m/>
    <m/>
    <m/>
    <m/>
    <m/>
    <m/>
    <m/>
  </r>
  <r>
    <x v="0"/>
    <s v="John C. Calhoun State Community College "/>
    <n v="101514"/>
    <x v="6"/>
    <n v="204854"/>
    <n v="220847"/>
    <n v="182136"/>
    <n v="192788"/>
    <n v="2065"/>
    <n v="4723"/>
    <n v="20653"/>
    <n v="0"/>
    <n v="0"/>
    <n v="22979"/>
    <m/>
    <n v="357"/>
    <n v="0"/>
    <n v="0"/>
    <n v="0"/>
    <n v="0"/>
    <m/>
    <m/>
    <m/>
    <m/>
    <m/>
    <m/>
    <m/>
    <m/>
    <m/>
    <m/>
    <m/>
    <m/>
  </r>
  <r>
    <x v="0"/>
    <s v="Bevill State Community College"/>
    <n v="102429"/>
    <x v="7"/>
    <n v="105907"/>
    <n v="109772"/>
    <n v="94473"/>
    <n v="95577"/>
    <n v="0"/>
    <n v="0"/>
    <n v="7819"/>
    <n v="3325"/>
    <n v="0"/>
    <n v="9649"/>
    <n v="4375"/>
    <n v="0"/>
    <n v="290"/>
    <n v="171"/>
    <n v="0"/>
    <n v="0"/>
    <m/>
    <m/>
    <m/>
    <m/>
    <m/>
    <m/>
    <m/>
    <m/>
    <m/>
    <m/>
    <m/>
    <m/>
  </r>
  <r>
    <x v="0"/>
    <s v="Bishop State Community College"/>
    <n v="102030"/>
    <x v="7"/>
    <n v="58791"/>
    <n v="76234"/>
    <n v="47419"/>
    <n v="64302"/>
    <n v="5393"/>
    <n v="5276"/>
    <n v="5979"/>
    <m/>
    <m/>
    <n v="6656"/>
    <n v="0"/>
    <s v=" "/>
    <m/>
    <n v="0"/>
    <n v="0"/>
    <n v="0"/>
    <m/>
    <m/>
    <m/>
    <m/>
    <m/>
    <m/>
    <m/>
    <m/>
    <m/>
    <m/>
    <m/>
    <m/>
  </r>
  <r>
    <x v="0"/>
    <s v="Gadsden State Community College"/>
    <n v="101240"/>
    <x v="7"/>
    <n v="141648"/>
    <n v="168603"/>
    <n v="121170"/>
    <n v="145036"/>
    <n v="0"/>
    <n v="0"/>
    <n v="20118"/>
    <n v="360"/>
    <n v="0"/>
    <n v="21840"/>
    <n v="293"/>
    <n v="1434"/>
    <m/>
    <m/>
    <n v="0"/>
    <n v="0"/>
    <m/>
    <m/>
    <m/>
    <m/>
    <m/>
    <m/>
    <m/>
    <m/>
    <m/>
    <m/>
    <m/>
    <m/>
  </r>
  <r>
    <x v="0"/>
    <s v="George C. Wallace State Community College - Dothan"/>
    <n v="101286"/>
    <x v="7"/>
    <n v="97308"/>
    <n v="113680"/>
    <n v="86236"/>
    <n v="100794"/>
    <m/>
    <m/>
    <n v="11072"/>
    <m/>
    <m/>
    <n v="12886"/>
    <m/>
    <m/>
    <m/>
    <m/>
    <n v="0"/>
    <n v="0"/>
    <m/>
    <m/>
    <m/>
    <m/>
    <m/>
    <m/>
    <m/>
    <m/>
    <m/>
    <m/>
    <m/>
    <m/>
  </r>
  <r>
    <x v="0"/>
    <s v="James H. Faulkner State Community College"/>
    <n v="101161"/>
    <x v="7"/>
    <n v="93048"/>
    <n v="104705"/>
    <n v="78007"/>
    <n v="87175"/>
    <n v="0"/>
    <m/>
    <n v="15041"/>
    <n v="0"/>
    <n v="0"/>
    <n v="17530"/>
    <n v="0"/>
    <n v="0"/>
    <n v="0"/>
    <n v="0"/>
    <n v="0"/>
    <n v="0"/>
    <m/>
    <m/>
    <m/>
    <m/>
    <m/>
    <m/>
    <m/>
    <m/>
    <m/>
    <m/>
    <m/>
    <m/>
  </r>
  <r>
    <x v="0"/>
    <s v="Lawson State Community College "/>
    <n v="101569"/>
    <x v="7"/>
    <n v="82487"/>
    <n v="98638"/>
    <n v="78492"/>
    <n v="87788"/>
    <n v="0"/>
    <n v="0"/>
    <n v="2237"/>
    <n v="1758"/>
    <n v="0"/>
    <n v="10850"/>
    <n v="0"/>
    <n v="0"/>
    <n v="0"/>
    <n v="0"/>
    <n v="0"/>
    <n v="0"/>
    <m/>
    <m/>
    <m/>
    <m/>
    <m/>
    <m/>
    <m/>
    <m/>
    <m/>
    <m/>
    <m/>
    <m/>
  </r>
  <r>
    <x v="0"/>
    <s v="Northwest-Shoals Community College"/>
    <n v="101736"/>
    <x v="7"/>
    <n v="87257"/>
    <n v="97073"/>
    <n v="68424"/>
    <n v="80479"/>
    <n v="8875"/>
    <n v="6074"/>
    <n v="8875"/>
    <n v="1083"/>
    <m/>
    <n v="9265"/>
    <n v="1255"/>
    <m/>
    <m/>
    <m/>
    <n v="0"/>
    <n v="0"/>
    <m/>
    <m/>
    <m/>
    <m/>
    <m/>
    <m/>
    <m/>
    <m/>
    <m/>
    <m/>
    <m/>
    <m/>
  </r>
  <r>
    <x v="0"/>
    <s v="Shelton State Community College"/>
    <n v="102067"/>
    <x v="7"/>
    <n v="130394"/>
    <n v="143313"/>
    <n v="121534"/>
    <n v="137952"/>
    <m/>
    <m/>
    <n v="8860"/>
    <m/>
    <m/>
    <n v="5361"/>
    <m/>
    <m/>
    <m/>
    <m/>
    <n v="0"/>
    <n v="0"/>
    <m/>
    <m/>
    <m/>
    <m/>
    <m/>
    <m/>
    <m/>
    <m/>
    <m/>
    <m/>
    <m/>
    <m/>
  </r>
  <r>
    <x v="0"/>
    <s v="Southern Union State Community College"/>
    <n v="251260"/>
    <x v="7"/>
    <n v="130034"/>
    <n v="134492"/>
    <n v="115675"/>
    <n v="110679"/>
    <n v="0"/>
    <n v="0"/>
    <n v="11010"/>
    <s v=" "/>
    <m/>
    <n v="12388"/>
    <n v="1278"/>
    <n v="6933"/>
    <n v="3349"/>
    <n v="3214"/>
    <n v="0"/>
    <n v="0"/>
    <m/>
    <m/>
    <m/>
    <m/>
    <m/>
    <m/>
    <m/>
    <m/>
    <m/>
    <m/>
    <m/>
    <m/>
  </r>
  <r>
    <x v="0"/>
    <s v="Wallace Community College - Hanceville"/>
    <n v="101295"/>
    <x v="7"/>
    <n v="141796"/>
    <n v="157325"/>
    <n v="115069"/>
    <n v="129371"/>
    <n v="6220"/>
    <n v="3464"/>
    <n v="19935"/>
    <n v="239"/>
    <n v="54"/>
    <n v="23460"/>
    <n v="69"/>
    <n v="0"/>
    <n v="279"/>
    <n v="961"/>
    <n v="0"/>
    <n v="0"/>
    <m/>
    <m/>
    <m/>
    <m/>
    <m/>
    <m/>
    <m/>
    <m/>
    <m/>
    <m/>
    <m/>
    <m/>
  </r>
  <r>
    <x v="0"/>
    <s v="Alabama Southern Community College"/>
    <n v="101949"/>
    <x v="8"/>
    <n v="33436"/>
    <n v="36123"/>
    <n v="32128"/>
    <n v="34607"/>
    <n v="0"/>
    <m/>
    <n v="1308"/>
    <n v="0"/>
    <n v="0"/>
    <n v="1504"/>
    <n v="0"/>
    <n v="0"/>
    <n v="0"/>
    <n v="0"/>
    <n v="0"/>
    <n v="0"/>
    <m/>
    <m/>
    <m/>
    <m/>
    <m/>
    <n v="0"/>
    <n v="0"/>
    <n v="0"/>
    <m/>
    <m/>
    <m/>
    <m/>
  </r>
  <r>
    <x v="0"/>
    <s v="Central Alabama Community College"/>
    <n v="100760"/>
    <x v="8"/>
    <n v="57233"/>
    <n v="61832"/>
    <n v="49454"/>
    <n v="52269"/>
    <m/>
    <m/>
    <n v="7779"/>
    <m/>
    <m/>
    <n v="9563"/>
    <m/>
    <m/>
    <m/>
    <m/>
    <n v="0"/>
    <n v="0"/>
    <m/>
    <m/>
    <m/>
    <m/>
    <m/>
    <m/>
    <m/>
    <m/>
    <m/>
    <m/>
    <m/>
    <m/>
  </r>
  <r>
    <x v="0"/>
    <s v="Chattahoochee Valley State Community College "/>
    <n v="101028"/>
    <x v="8"/>
    <n v="42959"/>
    <n v="46069"/>
    <n v="38343"/>
    <n v="41426"/>
    <n v="0"/>
    <m/>
    <n v="4616"/>
    <n v="0"/>
    <n v="0"/>
    <n v="4643"/>
    <n v="0"/>
    <n v="0"/>
    <n v="0"/>
    <m/>
    <n v="0"/>
    <n v="0"/>
    <m/>
    <m/>
    <m/>
    <m/>
    <m/>
    <m/>
    <m/>
    <m/>
    <m/>
    <m/>
    <m/>
    <m/>
  </r>
  <r>
    <x v="0"/>
    <s v="Enterprise-Ozark Community College"/>
    <n v="101143"/>
    <x v="8"/>
    <n v="59954"/>
    <n v="73028"/>
    <n v="52506"/>
    <n v="63841"/>
    <n v="1556"/>
    <n v="2682"/>
    <n v="5892"/>
    <m/>
    <m/>
    <n v="6186"/>
    <m/>
    <n v="57"/>
    <n v="0"/>
    <m/>
    <n v="0"/>
    <n v="0"/>
    <m/>
    <m/>
    <m/>
    <m/>
    <m/>
    <m/>
    <m/>
    <m/>
    <m/>
    <m/>
    <m/>
    <m/>
  </r>
  <r>
    <x v="0"/>
    <s v="George Corley Wallace State Community College - Selma"/>
    <n v="101301"/>
    <x v="8"/>
    <n v="52513"/>
    <n v="51977"/>
    <n v="33168"/>
    <n v="34693"/>
    <m/>
    <m/>
    <n v="19345"/>
    <m/>
    <m/>
    <n v="17284"/>
    <m/>
    <m/>
    <n v="0"/>
    <m/>
    <n v="0"/>
    <n v="0"/>
    <m/>
    <m/>
    <m/>
    <m/>
    <m/>
    <m/>
    <m/>
    <m/>
    <m/>
    <m/>
    <m/>
    <m/>
  </r>
  <r>
    <x v="0"/>
    <s v="Jefferson Davis Community College"/>
    <n v="101499"/>
    <x v="8"/>
    <n v="31326"/>
    <n v="33239"/>
    <n v="29444"/>
    <n v="30063"/>
    <n v="40"/>
    <n v="32"/>
    <n v="1842"/>
    <m/>
    <m/>
    <n v="3144"/>
    <m/>
    <m/>
    <m/>
    <m/>
    <n v="0"/>
    <n v="0"/>
    <m/>
    <m/>
    <m/>
    <m/>
    <m/>
    <m/>
    <m/>
    <m/>
    <m/>
    <m/>
    <m/>
    <m/>
  </r>
  <r>
    <x v="0"/>
    <s v="Lurleen B. Wallace Community College "/>
    <n v="101602"/>
    <x v="8"/>
    <n v="42073"/>
    <n v="45549"/>
    <n v="38989"/>
    <n v="35781"/>
    <m/>
    <m/>
    <n v="3084"/>
    <m/>
    <m/>
    <n v="8047"/>
    <m/>
    <n v="1721"/>
    <m/>
    <m/>
    <n v="0"/>
    <n v="0"/>
    <m/>
    <m/>
    <m/>
    <m/>
    <m/>
    <m/>
    <m/>
    <m/>
    <m/>
    <m/>
    <m/>
    <m/>
  </r>
  <r>
    <x v="0"/>
    <s v="Northeast Alabama State Community College "/>
    <n v="101897"/>
    <x v="8"/>
    <n v="65642"/>
    <n v="77045"/>
    <n v="49658"/>
    <n v="57217"/>
    <n v="2810"/>
    <n v="3113"/>
    <n v="13174"/>
    <m/>
    <m/>
    <n v="16715"/>
    <m/>
    <m/>
    <m/>
    <n v="0"/>
    <n v="0"/>
    <n v="0"/>
    <m/>
    <m/>
    <m/>
    <m/>
    <m/>
    <m/>
    <m/>
    <m/>
    <m/>
    <m/>
    <m/>
    <m/>
  </r>
  <r>
    <x v="0"/>
    <s v="Snead State Community College "/>
    <n v="102076"/>
    <x v="8"/>
    <n v="53690"/>
    <n v="58109"/>
    <n v="35281"/>
    <n v="34616"/>
    <n v="0"/>
    <n v="2313"/>
    <n v="18409"/>
    <n v="0"/>
    <n v="0"/>
    <n v="20853"/>
    <n v="327"/>
    <m/>
    <n v="0"/>
    <m/>
    <n v="0"/>
    <n v="0"/>
    <m/>
    <m/>
    <m/>
    <m/>
    <m/>
    <m/>
    <m/>
    <m/>
    <m/>
    <m/>
    <m/>
    <m/>
  </r>
  <r>
    <x v="0"/>
    <s v="Trenholm State Technical College "/>
    <n v="102313"/>
    <x v="9"/>
    <n v="36758"/>
    <n v="44426"/>
    <n v="33638"/>
    <n v="33661"/>
    <n v="0"/>
    <n v="6214"/>
    <n v="2255"/>
    <n v="45"/>
    <n v="820"/>
    <n v="2560"/>
    <n v="0"/>
    <n v="1991"/>
    <n v="0"/>
    <n v="0"/>
    <n v="0"/>
    <n v="0"/>
    <m/>
    <m/>
    <m/>
    <m/>
    <m/>
    <m/>
    <m/>
    <m/>
    <m/>
    <m/>
    <m/>
    <m/>
  </r>
  <r>
    <x v="0"/>
    <s v="J.F. Drake State Technical College "/>
    <n v="101462"/>
    <x v="10"/>
    <n v="0"/>
    <n v="0"/>
    <m/>
    <m/>
    <m/>
    <m/>
    <m/>
    <m/>
    <m/>
    <m/>
    <m/>
    <m/>
    <m/>
    <m/>
    <n v="0"/>
    <n v="0"/>
    <m/>
    <m/>
    <m/>
    <m/>
    <m/>
    <m/>
    <m/>
    <m/>
    <m/>
    <m/>
    <m/>
    <m/>
  </r>
  <r>
    <x v="0"/>
    <s v="J.F. Ingram State Technical College "/>
    <n v="101471"/>
    <x v="10"/>
    <n v="0"/>
    <n v="0"/>
    <m/>
    <m/>
    <m/>
    <m/>
    <m/>
    <m/>
    <m/>
    <m/>
    <m/>
    <m/>
    <m/>
    <m/>
    <n v="0"/>
    <n v="0"/>
    <m/>
    <m/>
    <m/>
    <m/>
    <m/>
    <m/>
    <m/>
    <m/>
    <m/>
    <m/>
    <m/>
    <m/>
  </r>
  <r>
    <x v="0"/>
    <s v="Reid State Technical College "/>
    <n v="101994"/>
    <x v="10"/>
    <n v="15632"/>
    <n v="20285"/>
    <n v="15632"/>
    <n v="20285"/>
    <n v="0"/>
    <n v="0"/>
    <n v="0"/>
    <n v="0"/>
    <n v="0"/>
    <n v="0"/>
    <n v="0"/>
    <n v="0"/>
    <n v="0"/>
    <n v="0"/>
    <n v="0"/>
    <n v="0"/>
    <m/>
    <m/>
    <m/>
    <m/>
    <m/>
    <n v="0"/>
    <n v="0"/>
    <n v="0"/>
    <m/>
    <m/>
    <m/>
    <m/>
  </r>
  <r>
    <x v="1"/>
    <s v="University of Arkansas, Fayetteville"/>
    <n v="106397"/>
    <x v="0"/>
    <n v="428450"/>
    <n v="440897"/>
    <n v="409776"/>
    <n v="421855"/>
    <n v="10738"/>
    <n v="9878"/>
    <n v="7057"/>
    <n v="744"/>
    <n v="135"/>
    <n v="8538"/>
    <n v="539"/>
    <n v="87"/>
    <m/>
    <m/>
    <n v="69769"/>
    <n v="72232"/>
    <n v="53775"/>
    <n v="56028"/>
    <n v="3692"/>
    <n v="3127"/>
    <n v="10067"/>
    <n v="192"/>
    <n v="2043"/>
    <n v="10838"/>
    <n v="126"/>
    <n v="2113"/>
    <m/>
    <m/>
  </r>
  <r>
    <x v="1"/>
    <s v="Arkansas State University"/>
    <n v="106458"/>
    <x v="2"/>
    <n v="259830"/>
    <n v="261694"/>
    <n v="203267"/>
    <n v="198522"/>
    <n v="27993"/>
    <n v="22250"/>
    <n v="24832"/>
    <n v="3738"/>
    <n v="0"/>
    <n v="36133"/>
    <n v="4692"/>
    <n v="97"/>
    <m/>
    <m/>
    <n v="28628"/>
    <n v="41660"/>
    <n v="20684"/>
    <n v="21519"/>
    <n v="386"/>
    <n v="389"/>
    <n v="6764"/>
    <n v="737"/>
    <n v="57"/>
    <n v="19461"/>
    <n v="189"/>
    <n v="102"/>
    <m/>
    <m/>
  </r>
  <r>
    <x v="1"/>
    <s v="University of Arkansas at Little Rock"/>
    <n v="106245"/>
    <x v="2"/>
    <n v="213147"/>
    <n v="224625"/>
    <n v="152593"/>
    <n v="152131"/>
    <n v="13025"/>
    <n v="17654"/>
    <n v="46482"/>
    <n v="135"/>
    <n v="912"/>
    <n v="54492"/>
    <n v="0"/>
    <n v="348"/>
    <m/>
    <m/>
    <n v="48805"/>
    <n v="51282"/>
    <n v="25481"/>
    <n v="26673"/>
    <n v="12060"/>
    <n v="12882"/>
    <n v="11060"/>
    <n v="78"/>
    <n v="126"/>
    <n v="11655"/>
    <m/>
    <n v="72"/>
    <m/>
    <m/>
  </r>
  <r>
    <x v="1"/>
    <s v="University of Central Arkansas "/>
    <n v="106704"/>
    <x v="2"/>
    <n v="295444"/>
    <n v="287999"/>
    <n v="277837"/>
    <n v="265513"/>
    <n v="9338"/>
    <n v="12209"/>
    <n v="0"/>
    <n v="54"/>
    <n v="6859"/>
    <n v="0"/>
    <n v="2"/>
    <n v="9673"/>
    <n v="1356"/>
    <n v="602"/>
    <n v="35378"/>
    <n v="34172"/>
    <n v="23836"/>
    <n v="24327"/>
    <n v="2501"/>
    <n v="1452"/>
    <n v="45"/>
    <n v="681"/>
    <n v="8294"/>
    <m/>
    <n v="258"/>
    <n v="8084"/>
    <n v="21"/>
    <n v="51"/>
  </r>
  <r>
    <x v="1"/>
    <s v="Arkansas Tech University"/>
    <n v="106467"/>
    <x v="3"/>
    <n v="191515"/>
    <n v="188683"/>
    <n v="150318"/>
    <n v="155162"/>
    <n v="17894"/>
    <n v="8316"/>
    <n v="23264"/>
    <n v="39"/>
    <n v="0"/>
    <n v="25205"/>
    <m/>
    <m/>
    <m/>
    <m/>
    <n v="8692"/>
    <n v="8965"/>
    <n v="5598"/>
    <n v="5235"/>
    <n v="753"/>
    <n v="659"/>
    <n v="2317"/>
    <n v="24"/>
    <n v="0"/>
    <n v="3056"/>
    <n v="15"/>
    <m/>
    <m/>
    <m/>
  </r>
  <r>
    <x v="1"/>
    <s v="Henderson State University"/>
    <n v="107071"/>
    <x v="3"/>
    <n v="88551"/>
    <n v="87055"/>
    <n v="84843"/>
    <n v="80572"/>
    <n v="242"/>
    <n v="692"/>
    <n v="3144"/>
    <n v="0"/>
    <n v="322"/>
    <n v="5791"/>
    <m/>
    <n v="0"/>
    <m/>
    <m/>
    <n v="12295"/>
    <n v="11893"/>
    <n v="8992"/>
    <n v="8470"/>
    <n v="3183"/>
    <n v="3303"/>
    <n v="102"/>
    <n v="0"/>
    <n v="18"/>
    <n v="120"/>
    <m/>
    <m/>
    <m/>
    <m/>
  </r>
  <r>
    <x v="1"/>
    <s v="Southern Arkansas University"/>
    <n v="107983"/>
    <x v="4"/>
    <n v="75330"/>
    <n v="76071"/>
    <n v="67765"/>
    <n v="67441"/>
    <n v="2779"/>
    <n v="2096"/>
    <n v="9"/>
    <n v="4777"/>
    <n v="0"/>
    <n v="6216"/>
    <n v="318"/>
    <m/>
    <m/>
    <m/>
    <n v="7192"/>
    <n v="8157"/>
    <n v="3558"/>
    <n v="3456"/>
    <n v="262"/>
    <n v="246"/>
    <n v="3"/>
    <n v="3369"/>
    <n v="0"/>
    <n v="4455"/>
    <m/>
    <m/>
    <m/>
    <m/>
  </r>
  <r>
    <x v="1"/>
    <s v="University of Arkansas at Monticello"/>
    <n v="106485"/>
    <x v="4"/>
    <n v="79278"/>
    <n v="67572"/>
    <n v="55198"/>
    <n v="57677"/>
    <n v="15140"/>
    <n v="925"/>
    <n v="6417"/>
    <n v="2523"/>
    <n v="0"/>
    <n v="6543"/>
    <n v="2427"/>
    <m/>
    <m/>
    <m/>
    <n v="2433"/>
    <n v="2120"/>
    <n v="1299"/>
    <n v="1145"/>
    <n v="63"/>
    <n v="6"/>
    <n v="1071"/>
    <n v="0"/>
    <n v="0"/>
    <n v="969"/>
    <m/>
    <m/>
    <m/>
    <m/>
  </r>
  <r>
    <x v="1"/>
    <s v="University of Arkansas at Fort Smith"/>
    <n v="108092"/>
    <x v="5"/>
    <n v="161374"/>
    <n v="174359"/>
    <n v="136089"/>
    <n v="148245"/>
    <n v="5166"/>
    <n v="2064"/>
    <n v="19984"/>
    <n v="135"/>
    <n v="0"/>
    <n v="23792"/>
    <n v="258"/>
    <m/>
    <m/>
    <m/>
    <n v="0"/>
    <n v="0"/>
    <m/>
    <m/>
    <m/>
    <m/>
    <m/>
    <m/>
    <m/>
    <m/>
    <m/>
    <m/>
    <m/>
    <m/>
  </r>
  <r>
    <x v="1"/>
    <s v="University of Arkansas at Pine Bluff"/>
    <n v="106412"/>
    <x v="5"/>
    <n v="89843"/>
    <n v="99114"/>
    <n v="83558"/>
    <n v="90011"/>
    <n v="1939"/>
    <n v="2982"/>
    <n v="0"/>
    <n v="4346"/>
    <n v="0"/>
    <n v="0"/>
    <n v="6121"/>
    <m/>
    <m/>
    <m/>
    <n v="2046"/>
    <n v="2217"/>
    <n v="1735"/>
    <n v="1890"/>
    <n v="0"/>
    <m/>
    <n v="0"/>
    <n v="311"/>
    <n v="0"/>
    <m/>
    <n v="327"/>
    <m/>
    <m/>
    <m/>
  </r>
  <r>
    <x v="1"/>
    <s v="Pulaski Technical College"/>
    <n v="107664"/>
    <x v="6"/>
    <n v="190235"/>
    <n v="212397"/>
    <n v="104602"/>
    <n v="150112"/>
    <n v="33090"/>
    <n v="0"/>
    <n v="52543"/>
    <n v="0"/>
    <n v="0"/>
    <n v="62285"/>
    <m/>
    <m/>
    <m/>
    <m/>
    <n v="0"/>
    <n v="0"/>
    <m/>
    <m/>
    <m/>
    <m/>
    <m/>
    <m/>
    <m/>
    <m/>
    <m/>
    <m/>
    <m/>
    <m/>
  </r>
  <r>
    <x v="1"/>
    <s v="Arkansas State University-Beebe"/>
    <n v="106449"/>
    <x v="7"/>
    <n v="98538"/>
    <n v="100997"/>
    <n v="51333"/>
    <n v="58966"/>
    <n v="30060"/>
    <n v="22920"/>
    <n v="17145"/>
    <n v="0"/>
    <n v="0"/>
    <n v="19111"/>
    <m/>
    <m/>
    <m/>
    <m/>
    <n v="0"/>
    <n v="0"/>
    <m/>
    <m/>
    <m/>
    <m/>
    <m/>
    <m/>
    <m/>
    <m/>
    <m/>
    <m/>
    <m/>
    <m/>
  </r>
  <r>
    <x v="1"/>
    <s v="Northwest Arkansas Community College "/>
    <n v="367459"/>
    <x v="7"/>
    <n v="133007"/>
    <n v="153367"/>
    <n v="90037"/>
    <n v="103268"/>
    <n v="17229"/>
    <n v="19143"/>
    <n v="1255"/>
    <n v="504"/>
    <n v="23982"/>
    <n v="3183"/>
    <n v="535"/>
    <n v="27238"/>
    <m/>
    <m/>
    <n v="0"/>
    <n v="0"/>
    <m/>
    <m/>
    <m/>
    <m/>
    <m/>
    <m/>
    <m/>
    <m/>
    <m/>
    <m/>
    <m/>
    <m/>
  </r>
  <r>
    <x v="1"/>
    <s v="Arkansas Northeastern College"/>
    <n v="107327"/>
    <x v="8"/>
    <n v="35976"/>
    <n v="42729"/>
    <n v="26730"/>
    <n v="32505"/>
    <n v="3745"/>
    <n v="3797"/>
    <n v="4995"/>
    <n v="506"/>
    <n v="0"/>
    <n v="5996"/>
    <n v="431"/>
    <m/>
    <m/>
    <m/>
    <n v="0"/>
    <n v="0"/>
    <m/>
    <m/>
    <m/>
    <m/>
    <m/>
    <m/>
    <m/>
    <m/>
    <m/>
    <m/>
    <m/>
    <m/>
  </r>
  <r>
    <x v="1"/>
    <s v="Arkansas State University Mountain Home"/>
    <n v="420538"/>
    <x v="8"/>
    <n v="27898"/>
    <n v="32124"/>
    <n v="20287"/>
    <n v="22507"/>
    <n v="1065"/>
    <n v="950"/>
    <n v="6263"/>
    <n v="283"/>
    <n v="0"/>
    <n v="8383"/>
    <n v="284"/>
    <m/>
    <m/>
    <m/>
    <n v="0"/>
    <n v="0"/>
    <m/>
    <m/>
    <m/>
    <m/>
    <m/>
    <m/>
    <m/>
    <m/>
    <m/>
    <m/>
    <m/>
    <m/>
  </r>
  <r>
    <x v="1"/>
    <s v="Arkansas State University-Newport"/>
    <n v="440402"/>
    <x v="8"/>
    <n v="32602"/>
    <n v="41054"/>
    <n v="17414"/>
    <n v="14767"/>
    <n v="5300"/>
    <n v="12689"/>
    <n v="9888"/>
    <n v="0"/>
    <n v="0"/>
    <n v="13598"/>
    <m/>
    <m/>
    <m/>
    <m/>
    <n v="0"/>
    <n v="0"/>
    <m/>
    <m/>
    <m/>
    <m/>
    <m/>
    <m/>
    <m/>
    <m/>
    <m/>
    <m/>
    <m/>
    <m/>
  </r>
  <r>
    <x v="1"/>
    <s v="Black River Technical College"/>
    <n v="106625"/>
    <x v="8"/>
    <n v="48013"/>
    <n v="51194"/>
    <n v="30646"/>
    <n v="29483"/>
    <n v="9283"/>
    <n v="11761"/>
    <n v="6932"/>
    <n v="1152"/>
    <n v="0"/>
    <n v="8308"/>
    <n v="1642"/>
    <m/>
    <m/>
    <m/>
    <n v="0"/>
    <n v="0"/>
    <m/>
    <m/>
    <m/>
    <m/>
    <m/>
    <m/>
    <m/>
    <m/>
    <m/>
    <m/>
    <m/>
    <m/>
  </r>
  <r>
    <x v="1"/>
    <s v="Cossatot Community College of the University of Arkansas"/>
    <n v="106795"/>
    <x v="8"/>
    <n v="26995"/>
    <n v="27409"/>
    <n v="6422"/>
    <n v="6607"/>
    <n v="7401"/>
    <n v="7945"/>
    <n v="10161"/>
    <n v="3011"/>
    <n v="0"/>
    <n v="9743"/>
    <n v="3114"/>
    <m/>
    <m/>
    <m/>
    <n v="0"/>
    <n v="0"/>
    <m/>
    <m/>
    <m/>
    <m/>
    <m/>
    <m/>
    <m/>
    <m/>
    <m/>
    <m/>
    <m/>
    <m/>
  </r>
  <r>
    <x v="1"/>
    <s v="East Arkansas Community College "/>
    <n v="106883"/>
    <x v="8"/>
    <n v="32068"/>
    <n v="31764"/>
    <n v="20073"/>
    <n v="19955"/>
    <n v="6947"/>
    <n v="6150"/>
    <n v="4152"/>
    <n v="896"/>
    <n v="0"/>
    <n v="4698"/>
    <n v="961"/>
    <m/>
    <m/>
    <m/>
    <n v="0"/>
    <n v="0"/>
    <m/>
    <m/>
    <m/>
    <m/>
    <m/>
    <m/>
    <m/>
    <m/>
    <m/>
    <m/>
    <m/>
    <m/>
  </r>
  <r>
    <x v="1"/>
    <s v="Mid-South Community College "/>
    <n v="107318"/>
    <x v="8"/>
    <n v="28966"/>
    <n v="36648"/>
    <n v="26555"/>
    <n v="34533"/>
    <n v="2003"/>
    <n v="1606"/>
    <n v="408"/>
    <n v="0"/>
    <n v="0"/>
    <n v="509"/>
    <m/>
    <m/>
    <m/>
    <m/>
    <n v="0"/>
    <n v="0"/>
    <m/>
    <m/>
    <m/>
    <m/>
    <m/>
    <m/>
    <m/>
    <m/>
    <m/>
    <m/>
    <m/>
    <m/>
  </r>
  <r>
    <x v="1"/>
    <s v="National Park Community College"/>
    <n v="106980"/>
    <x v="8"/>
    <n v="64009"/>
    <n v="71397"/>
    <n v="56603"/>
    <n v="61153"/>
    <n v="2428"/>
    <n v="3629"/>
    <n v="4978"/>
    <n v="0"/>
    <n v="0"/>
    <n v="6615"/>
    <m/>
    <m/>
    <m/>
    <m/>
    <n v="0"/>
    <n v="0"/>
    <m/>
    <m/>
    <m/>
    <m/>
    <m/>
    <m/>
    <m/>
    <m/>
    <m/>
    <m/>
    <m/>
    <m/>
  </r>
  <r>
    <x v="1"/>
    <s v="North Arkansas College"/>
    <n v="107460"/>
    <x v="8"/>
    <n v="47625"/>
    <n v="53370"/>
    <n v="42211"/>
    <n v="46711"/>
    <n v="1674"/>
    <n v="2412"/>
    <n v="3374"/>
    <n v="366"/>
    <n v="0"/>
    <n v="4247"/>
    <m/>
    <m/>
    <m/>
    <m/>
    <n v="0"/>
    <n v="0"/>
    <m/>
    <m/>
    <m/>
    <m/>
    <m/>
    <m/>
    <m/>
    <m/>
    <m/>
    <m/>
    <m/>
    <m/>
  </r>
  <r>
    <x v="1"/>
    <s v="Ouachita Technical College "/>
    <n v="107521"/>
    <x v="8"/>
    <n v="27032"/>
    <n v="28519"/>
    <n v="18049"/>
    <n v="20362"/>
    <n v="4171"/>
    <n v="2514"/>
    <n v="4665"/>
    <n v="147"/>
    <n v="0"/>
    <n v="5499"/>
    <n v="144"/>
    <m/>
    <m/>
    <m/>
    <n v="0"/>
    <n v="0"/>
    <m/>
    <m/>
    <m/>
    <m/>
    <m/>
    <m/>
    <m/>
    <m/>
    <m/>
    <m/>
    <m/>
    <m/>
  </r>
  <r>
    <x v="1"/>
    <s v="Ozarka College "/>
    <n v="107549"/>
    <x v="8"/>
    <n v="26888"/>
    <n v="28729"/>
    <n v="16518"/>
    <n v="18811"/>
    <n v="2077"/>
    <n v="1218"/>
    <n v="5349"/>
    <n v="2944"/>
    <n v="0"/>
    <n v="6365"/>
    <n v="2335"/>
    <m/>
    <m/>
    <m/>
    <n v="0"/>
    <n v="0"/>
    <m/>
    <m/>
    <m/>
    <m/>
    <m/>
    <m/>
    <m/>
    <m/>
    <m/>
    <m/>
    <m/>
    <m/>
  </r>
  <r>
    <x v="1"/>
    <s v="Phillips Community College of the Univ of Arkansas"/>
    <n v="107619"/>
    <x v="8"/>
    <n v="40066"/>
    <n v="40915"/>
    <n v="31945"/>
    <n v="33242"/>
    <n v="3863"/>
    <n v="3612"/>
    <n v="2824"/>
    <n v="1434"/>
    <n v="0"/>
    <n v="2709"/>
    <n v="1352"/>
    <m/>
    <m/>
    <m/>
    <n v="0"/>
    <n v="0"/>
    <m/>
    <m/>
    <m/>
    <m/>
    <m/>
    <m/>
    <m/>
    <m/>
    <m/>
    <m/>
    <m/>
    <m/>
  </r>
  <r>
    <x v="1"/>
    <s v="Rich Mountain Community College "/>
    <n v="107743"/>
    <x v="8"/>
    <n v="17512"/>
    <n v="19075"/>
    <n v="13075"/>
    <n v="13693"/>
    <n v="3639"/>
    <n v="4821"/>
    <n v="0"/>
    <n v="798"/>
    <n v="0"/>
    <n v="0"/>
    <n v="561"/>
    <m/>
    <m/>
    <m/>
    <n v="0"/>
    <n v="0"/>
    <m/>
    <m/>
    <m/>
    <m/>
    <m/>
    <m/>
    <m/>
    <m/>
    <m/>
    <m/>
    <m/>
    <m/>
  </r>
  <r>
    <x v="1"/>
    <s v="South Arkansas Community College"/>
    <n v="107974"/>
    <x v="8"/>
    <n v="33850"/>
    <n v="37833"/>
    <n v="29100"/>
    <n v="30962"/>
    <n v="564"/>
    <n v="1303"/>
    <n v="4186"/>
    <n v="0"/>
    <n v="0"/>
    <n v="5468"/>
    <m/>
    <m/>
    <m/>
    <n v="100"/>
    <n v="0"/>
    <n v="0"/>
    <m/>
    <m/>
    <m/>
    <m/>
    <m/>
    <m/>
    <m/>
    <m/>
    <m/>
    <m/>
    <m/>
    <m/>
  </r>
  <r>
    <x v="1"/>
    <s v="Southeast Arkansas College"/>
    <n v="107637"/>
    <x v="8"/>
    <n v="45587"/>
    <n v="46305"/>
    <n v="38346"/>
    <n v="40418"/>
    <n v="3289"/>
    <n v="3169"/>
    <n v="3952"/>
    <n v="0"/>
    <n v="0"/>
    <n v="2718"/>
    <m/>
    <m/>
    <m/>
    <m/>
    <n v="0"/>
    <n v="0"/>
    <m/>
    <m/>
    <m/>
    <m/>
    <m/>
    <m/>
    <m/>
    <m/>
    <m/>
    <m/>
    <m/>
    <m/>
  </r>
  <r>
    <x v="1"/>
    <s v="Southern Arkansas University Tech"/>
    <n v="107992"/>
    <x v="8"/>
    <n v="39361"/>
    <n v="41625"/>
    <n v="14334"/>
    <n v="17056"/>
    <n v="16722"/>
    <n v="15604"/>
    <n v="0"/>
    <n v="0"/>
    <n v="8305"/>
    <n v="0"/>
    <m/>
    <n v="8965"/>
    <m/>
    <m/>
    <n v="0"/>
    <n v="0"/>
    <m/>
    <m/>
    <m/>
    <m/>
    <m/>
    <m/>
    <m/>
    <m/>
    <m/>
    <m/>
    <m/>
    <m/>
  </r>
  <r>
    <x v="1"/>
    <s v="University of Arkansas Community College at Batesville"/>
    <n v="106999"/>
    <x v="8"/>
    <n v="35636"/>
    <n v="39712"/>
    <n v="29922"/>
    <n v="33017"/>
    <n v="839"/>
    <n v="438"/>
    <n v="4875"/>
    <n v="0"/>
    <n v="0"/>
    <n v="6257"/>
    <m/>
    <m/>
    <m/>
    <m/>
    <n v="0"/>
    <n v="0"/>
    <m/>
    <m/>
    <m/>
    <m/>
    <m/>
    <m/>
    <m/>
    <m/>
    <m/>
    <m/>
    <m/>
    <m/>
  </r>
  <r>
    <x v="1"/>
    <s v="University of Arkansas Community College at Hope"/>
    <n v="107725"/>
    <x v="8"/>
    <n v="27155"/>
    <n v="31739"/>
    <n v="27131"/>
    <n v="31724"/>
    <n v="0"/>
    <n v="0"/>
    <n v="9"/>
    <n v="0"/>
    <n v="15"/>
    <n v="6"/>
    <m/>
    <n v="9"/>
    <m/>
    <m/>
    <n v="0"/>
    <n v="0"/>
    <m/>
    <m/>
    <m/>
    <m/>
    <m/>
    <m/>
    <m/>
    <m/>
    <m/>
    <m/>
    <m/>
    <m/>
  </r>
  <r>
    <x v="1"/>
    <s v="University of Arkansas Community College at Morrilton"/>
    <n v="107585"/>
    <x v="8"/>
    <n v="43209"/>
    <n v="52479"/>
    <n v="40898"/>
    <n v="50055"/>
    <n v="20"/>
    <n v="72"/>
    <n v="2222"/>
    <n v="69"/>
    <n v="0"/>
    <n v="2352"/>
    <m/>
    <m/>
    <m/>
    <m/>
    <n v="0"/>
    <n v="0"/>
    <m/>
    <m/>
    <m/>
    <m/>
    <m/>
    <m/>
    <m/>
    <m/>
    <m/>
    <m/>
    <m/>
    <m/>
  </r>
  <r>
    <x v="2"/>
    <s v="University of Delaware"/>
    <n v="130943"/>
    <x v="0"/>
    <n v="505108"/>
    <n v="513975"/>
    <n v="481057"/>
    <n v="493290"/>
    <m/>
    <m/>
    <n v="24051"/>
    <m/>
    <m/>
    <n v="20685"/>
    <n v="0"/>
    <n v="0"/>
    <m/>
    <n v="0"/>
    <n v="49635"/>
    <n v="52334"/>
    <n v="46250"/>
    <n v="49346"/>
    <m/>
    <m/>
    <n v="3151"/>
    <n v="234"/>
    <m/>
    <n v="2988"/>
    <n v="0"/>
    <n v="0"/>
    <m/>
    <m/>
  </r>
  <r>
    <x v="2"/>
    <s v="Delaware State University"/>
    <n v="130934"/>
    <x v="3"/>
    <n v="96583"/>
    <n v="92917"/>
    <n v="96058"/>
    <n v="92345"/>
    <m/>
    <m/>
    <n v="525"/>
    <m/>
    <m/>
    <n v="572"/>
    <n v="0"/>
    <n v="0"/>
    <m/>
    <n v="0"/>
    <n v="7075"/>
    <n v="6072"/>
    <n v="6925"/>
    <n v="5997"/>
    <m/>
    <m/>
    <n v="150"/>
    <m/>
    <m/>
    <n v="75"/>
    <n v="0"/>
    <n v="0"/>
    <m/>
    <m/>
  </r>
  <r>
    <x v="2"/>
    <s v="Delaware Technical and Community College--Owens"/>
    <n v="130891"/>
    <x v="7"/>
    <n v="83810"/>
    <n v="98175"/>
    <n v="74456"/>
    <n v="84287"/>
    <m/>
    <m/>
    <n v="6097"/>
    <n v="313"/>
    <n v="2944"/>
    <n v="10249"/>
    <n v="389"/>
    <n v="3250"/>
    <m/>
    <m/>
    <n v="0"/>
    <n v="0"/>
    <m/>
    <m/>
    <m/>
    <m/>
    <m/>
    <m/>
    <m/>
    <m/>
    <m/>
    <m/>
    <m/>
    <m/>
  </r>
  <r>
    <x v="2"/>
    <s v="Delaware Technical and Community College--Stanton-Wilmington"/>
    <n v="130916"/>
    <x v="7"/>
    <n v="140557"/>
    <n v="156761"/>
    <n v="124292"/>
    <n v="138679"/>
    <m/>
    <m/>
    <n v="6030"/>
    <n v="366"/>
    <n v="9869"/>
    <n v="7637"/>
    <n v="267"/>
    <n v="10178"/>
    <m/>
    <m/>
    <n v="0"/>
    <n v="0"/>
    <m/>
    <m/>
    <m/>
    <m/>
    <m/>
    <m/>
    <m/>
    <m/>
    <m/>
    <m/>
    <m/>
    <m/>
  </r>
  <r>
    <x v="2"/>
    <s v="Delaware Technical and Community College--Terry"/>
    <n v="130907"/>
    <x v="8"/>
    <n v="64910"/>
    <n v="72272"/>
    <n v="54591"/>
    <n v="60431"/>
    <m/>
    <m/>
    <n v="5619"/>
    <n v="27"/>
    <n v="4673"/>
    <n v="5884"/>
    <n v="219"/>
    <n v="5738"/>
    <m/>
    <m/>
    <n v="0"/>
    <n v="0"/>
    <m/>
    <m/>
    <m/>
    <m/>
    <m/>
    <m/>
    <m/>
    <m/>
    <m/>
    <m/>
    <m/>
    <m/>
  </r>
  <r>
    <x v="3"/>
    <s v="Florida International University"/>
    <n v="133951"/>
    <x v="0"/>
    <n v="822117"/>
    <n v="827508"/>
    <n v="537138"/>
    <n v="536235"/>
    <n v="141254"/>
    <n v="141223"/>
    <n v="142257"/>
    <n v="774"/>
    <n v="694"/>
    <n v="148555"/>
    <n v="522"/>
    <n v="973"/>
    <m/>
    <m/>
    <n v="135411.20000000001"/>
    <n v="158978"/>
    <n v="102753"/>
    <n v="115092"/>
    <n v="23284"/>
    <n v="28290"/>
    <n v="8576.2000000000007"/>
    <m/>
    <n v="798"/>
    <n v="15206"/>
    <m/>
    <n v="390"/>
    <m/>
    <m/>
  </r>
  <r>
    <x v="3"/>
    <s v="Florida State University "/>
    <n v="134097"/>
    <x v="0"/>
    <n v="907865"/>
    <n v="950946"/>
    <n v="824882"/>
    <n v="816647"/>
    <n v="62365"/>
    <n v="58803"/>
    <n v="20516"/>
    <n v="102"/>
    <m/>
    <n v="27083"/>
    <m/>
    <n v="48413"/>
    <m/>
    <m/>
    <n v="200067"/>
    <n v="185887"/>
    <n v="165308"/>
    <n v="148552"/>
    <n v="10296"/>
    <n v="11754"/>
    <n v="24274"/>
    <m/>
    <n v="189"/>
    <n v="24996"/>
    <n v="30"/>
    <n v="555"/>
    <m/>
    <m/>
  </r>
  <r>
    <x v="3"/>
    <s v="University of Central Florida "/>
    <n v="132903"/>
    <x v="0"/>
    <n v="1161366"/>
    <n v="1210656"/>
    <n v="794165"/>
    <n v="821150"/>
    <n v="109560"/>
    <n v="102204"/>
    <n v="186878"/>
    <n v="31714"/>
    <n v="39049"/>
    <n v="212795"/>
    <n v="56992"/>
    <n v="17515"/>
    <m/>
    <m/>
    <n v="117528.5"/>
    <n v="129243.3"/>
    <n v="73517"/>
    <n v="76908.800000000003"/>
    <n v="11392.5"/>
    <n v="12449.5"/>
    <n v="30570"/>
    <n v="45"/>
    <n v="2004"/>
    <n v="36336"/>
    <n v="69"/>
    <n v="3480"/>
    <m/>
    <m/>
  </r>
  <r>
    <x v="3"/>
    <s v="University of Florida"/>
    <n v="134130"/>
    <x v="0"/>
    <n v="1053264.3999999999"/>
    <n v="1021008"/>
    <n v="845902.4"/>
    <n v="787004"/>
    <n v="4405"/>
    <m/>
    <n v="35442"/>
    <n v="1079"/>
    <n v="159286"/>
    <n v="59736"/>
    <n v="338"/>
    <n v="166889"/>
    <n v="7150"/>
    <n v="7041"/>
    <n v="410385"/>
    <n v="357375"/>
    <n v="331415"/>
    <n v="289789"/>
    <n v="11943"/>
    <m/>
    <n v="24597"/>
    <n v="2126"/>
    <n v="40304"/>
    <n v="40219"/>
    <n v="1621"/>
    <n v="25743"/>
    <m/>
    <n v="3"/>
  </r>
  <r>
    <x v="3"/>
    <s v="University of South Florida "/>
    <n v="137351"/>
    <x v="0"/>
    <n v="960558"/>
    <n v="984652"/>
    <n v="640326"/>
    <n v="650197"/>
    <n v="131205"/>
    <n v="127964"/>
    <n v="154026"/>
    <n v="2355"/>
    <n v="32646"/>
    <n v="182471"/>
    <n v="2679"/>
    <n v="21341"/>
    <m/>
    <m/>
    <n v="177363"/>
    <n v="182477"/>
    <n v="99273"/>
    <n v="101176"/>
    <n v="39085"/>
    <n v="40412"/>
    <n v="37387"/>
    <n v="856"/>
    <n v="762"/>
    <n v="39931"/>
    <n v="195"/>
    <n v="763"/>
    <m/>
    <m/>
  </r>
  <r>
    <x v="3"/>
    <s v="Florida Atlantic University "/>
    <n v="133669"/>
    <x v="1"/>
    <n v="519541"/>
    <n v="539048"/>
    <n v="367113"/>
    <n v="391449"/>
    <n v="118553"/>
    <n v="114564"/>
    <n v="25127"/>
    <n v="8463"/>
    <n v="285"/>
    <n v="25370"/>
    <n v="6636"/>
    <n v="1029"/>
    <m/>
    <m/>
    <n v="76256"/>
    <n v="78594"/>
    <n v="38427"/>
    <n v="41608"/>
    <n v="20200"/>
    <n v="17062"/>
    <n v="15102"/>
    <n v="1504"/>
    <n v="1023"/>
    <n v="16293"/>
    <n v="2441"/>
    <n v="1190"/>
    <m/>
    <m/>
  </r>
  <r>
    <x v="3"/>
    <s v="Florida Agricultural &amp; Mechanical University "/>
    <n v="133650"/>
    <x v="2"/>
    <n v="289431"/>
    <n v="295523"/>
    <n v="284161"/>
    <n v="291621"/>
    <n v="5270"/>
    <n v="3514"/>
    <m/>
    <m/>
    <m/>
    <n v="375"/>
    <m/>
    <n v="13"/>
    <m/>
    <m/>
    <n v="46939"/>
    <n v="49355"/>
    <n v="29831"/>
    <n v="32426"/>
    <n v="17108"/>
    <n v="16929"/>
    <m/>
    <m/>
    <m/>
    <m/>
    <m/>
    <m/>
    <m/>
    <m/>
  </r>
  <r>
    <x v="3"/>
    <s v="University of North Florida"/>
    <n v="136172"/>
    <x v="2"/>
    <n v="372410"/>
    <n v="378168"/>
    <n v="354506"/>
    <n v="360210"/>
    <n v="5503"/>
    <n v="5018"/>
    <n v="12401"/>
    <m/>
    <m/>
    <n v="12940"/>
    <m/>
    <m/>
    <m/>
    <m/>
    <n v="33192"/>
    <n v="33151"/>
    <n v="28951"/>
    <n v="27584"/>
    <n v="2509"/>
    <n v="2906"/>
    <n v="1726"/>
    <m/>
    <n v="6"/>
    <n v="2661"/>
    <m/>
    <m/>
    <m/>
    <m/>
  </r>
  <r>
    <x v="3"/>
    <s v="University of West Florida"/>
    <n v="138354"/>
    <x v="2"/>
    <n v="226220"/>
    <n v="231470"/>
    <n v="142643"/>
    <n v="145563"/>
    <n v="8091"/>
    <n v="4490"/>
    <n v="72123"/>
    <n v="3363"/>
    <m/>
    <n v="78409"/>
    <n v="3008"/>
    <m/>
    <m/>
    <m/>
    <n v="25110"/>
    <n v="29350"/>
    <n v="8834.5"/>
    <n v="9600"/>
    <n v="803"/>
    <n v="480"/>
    <n v="15324"/>
    <n v="148.5"/>
    <m/>
    <n v="19180"/>
    <n v="90"/>
    <m/>
    <m/>
    <m/>
  </r>
  <r>
    <x v="3"/>
    <s v="Florida Gulf Coast University"/>
    <n v="433660"/>
    <x v="3"/>
    <n v="224810"/>
    <n v="247828"/>
    <n v="181438"/>
    <n v="197874"/>
    <n v="5495"/>
    <n v="6603"/>
    <n v="37877"/>
    <m/>
    <m/>
    <n v="43279"/>
    <m/>
    <n v="72"/>
    <m/>
    <m/>
    <n v="19540"/>
    <n v="21548"/>
    <n v="10934"/>
    <n v="11880"/>
    <n v="645"/>
    <n v="1021"/>
    <n v="7961"/>
    <m/>
    <m/>
    <n v="8647"/>
    <m/>
    <m/>
    <m/>
    <m/>
  </r>
  <r>
    <x v="3"/>
    <s v="New College of Florida"/>
    <n v="262129"/>
    <x v="5"/>
    <n v="26948"/>
    <n v="27872"/>
    <n v="26948"/>
    <n v="27872"/>
    <m/>
    <m/>
    <m/>
    <m/>
    <m/>
    <m/>
    <m/>
    <m/>
    <m/>
    <m/>
    <n v="0"/>
    <n v="0"/>
    <m/>
    <m/>
    <m/>
    <m/>
    <m/>
    <m/>
    <m/>
    <m/>
    <m/>
    <m/>
    <m/>
    <m/>
  </r>
  <r>
    <x v="3"/>
    <s v="Chipola College "/>
    <n v="133021"/>
    <x v="11"/>
    <n v="43317"/>
    <n v="47216"/>
    <n v="39103"/>
    <n v="42458"/>
    <n v="2431"/>
    <n v="1977"/>
    <n v="894"/>
    <n v="0"/>
    <n v="0"/>
    <n v="2044"/>
    <n v="0"/>
    <n v="0"/>
    <n v="889"/>
    <n v="737"/>
    <n v="0"/>
    <n v="0"/>
    <m/>
    <m/>
    <m/>
    <m/>
    <m/>
    <m/>
    <m/>
    <m/>
    <m/>
    <m/>
    <m/>
    <m/>
  </r>
  <r>
    <x v="3"/>
    <s v="Daytona Beach Community College "/>
    <n v="133386"/>
    <x v="11"/>
    <n v="300378"/>
    <n v="351971"/>
    <n v="244413"/>
    <n v="268288"/>
    <n v="0"/>
    <n v="0"/>
    <n v="42001"/>
    <n v="3965"/>
    <n v="9999"/>
    <n v="63091"/>
    <n v="2049"/>
    <n v="18543"/>
    <n v="0"/>
    <n v="0"/>
    <n v="0"/>
    <n v="0"/>
    <m/>
    <m/>
    <m/>
    <m/>
    <m/>
    <m/>
    <m/>
    <m/>
    <m/>
    <m/>
    <m/>
    <m/>
  </r>
  <r>
    <x v="3"/>
    <s v="Miami Dade College "/>
    <n v="135717"/>
    <x v="11"/>
    <n v="1354186"/>
    <n v="1463404"/>
    <n v="1255089"/>
    <n v="1341835"/>
    <n v="25305"/>
    <n v="26317"/>
    <n v="14006"/>
    <n v="0"/>
    <n v="57865"/>
    <n v="31885"/>
    <n v="0"/>
    <n v="63263"/>
    <n v="1921"/>
    <n v="104"/>
    <n v="0"/>
    <n v="0"/>
    <m/>
    <m/>
    <m/>
    <m/>
    <m/>
    <m/>
    <m/>
    <m/>
    <m/>
    <m/>
    <m/>
    <m/>
  </r>
  <r>
    <x v="3"/>
    <s v="Northwest Florida State College"/>
    <n v="136233"/>
    <x v="11"/>
    <n v="150725"/>
    <n v="159856"/>
    <n v="96746"/>
    <n v="100242"/>
    <n v="20382"/>
    <n v="19415"/>
    <n v="15828"/>
    <n v="0"/>
    <n v="3933"/>
    <n v="20048"/>
    <n v="0"/>
    <n v="8725"/>
    <n v="13836"/>
    <n v="11426"/>
    <n v="0"/>
    <n v="0"/>
    <m/>
    <m/>
    <m/>
    <m/>
    <m/>
    <m/>
    <m/>
    <m/>
    <m/>
    <m/>
    <m/>
    <m/>
  </r>
  <r>
    <x v="3"/>
    <s v="St. Petersburg College "/>
    <n v="137078"/>
    <x v="11"/>
    <n v="526777"/>
    <n v="581223"/>
    <n v="325789"/>
    <n v="336326"/>
    <n v="4719"/>
    <n v="0"/>
    <n v="167961"/>
    <n v="219"/>
    <n v="24549"/>
    <n v="202480"/>
    <n v="231"/>
    <n v="38850"/>
    <n v="3540"/>
    <n v="3336"/>
    <n v="0"/>
    <n v="0"/>
    <m/>
    <m/>
    <m/>
    <m/>
    <m/>
    <m/>
    <m/>
    <m/>
    <m/>
    <m/>
    <m/>
    <m/>
  </r>
  <r>
    <x v="3"/>
    <s v="Brevard Community College "/>
    <n v="132693"/>
    <x v="6"/>
    <n v="294236"/>
    <n v="339675"/>
    <n v="215445"/>
    <n v="243220"/>
    <n v="10197"/>
    <n v="9590"/>
    <n v="54977"/>
    <n v="0"/>
    <n v="13617"/>
    <n v="64621"/>
    <n v="0"/>
    <n v="22244"/>
    <n v="0"/>
    <n v="0"/>
    <n v="0"/>
    <n v="0"/>
    <m/>
    <m/>
    <m/>
    <m/>
    <m/>
    <m/>
    <m/>
    <m/>
    <m/>
    <m/>
    <m/>
    <m/>
  </r>
  <r>
    <x v="3"/>
    <s v="Broward Community College "/>
    <n v="132709"/>
    <x v="6"/>
    <n v="694111"/>
    <n v="781595"/>
    <n v="579895"/>
    <n v="646985"/>
    <n v="35695"/>
    <n v="44420"/>
    <n v="48353"/>
    <n v="1154"/>
    <n v="27487"/>
    <n v="55678"/>
    <n v="984"/>
    <n v="31332"/>
    <n v="1527"/>
    <n v="2196"/>
    <n v="0"/>
    <n v="0"/>
    <m/>
    <m/>
    <m/>
    <m/>
    <m/>
    <m/>
    <m/>
    <m/>
    <m/>
    <m/>
    <m/>
    <m/>
  </r>
  <r>
    <x v="3"/>
    <s v="Edison State College "/>
    <n v="133508"/>
    <x v="6"/>
    <n v="260068"/>
    <n v="313514"/>
    <n v="222377"/>
    <n v="258381"/>
    <n v="11501"/>
    <n v="10150"/>
    <n v="21529"/>
    <n v="0"/>
    <n v="4511"/>
    <n v="35332"/>
    <n v="45"/>
    <n v="4218"/>
    <n v="150"/>
    <n v="5388"/>
    <n v="0"/>
    <n v="0"/>
    <m/>
    <m/>
    <m/>
    <m/>
    <m/>
    <m/>
    <m/>
    <m/>
    <m/>
    <m/>
    <m/>
    <m/>
  </r>
  <r>
    <x v="3"/>
    <s v="Florida Community College at Jacksonville"/>
    <n v="133702"/>
    <x v="6"/>
    <n v="503095"/>
    <n v="579570"/>
    <n v="320086"/>
    <n v="341569"/>
    <n v="7112"/>
    <n v="12141"/>
    <n v="127100"/>
    <n v="0"/>
    <n v="48189"/>
    <n v="150125"/>
    <n v="0"/>
    <n v="74763"/>
    <n v="608"/>
    <n v="972"/>
    <n v="0"/>
    <n v="0"/>
    <m/>
    <m/>
    <m/>
    <m/>
    <m/>
    <m/>
    <m/>
    <m/>
    <m/>
    <m/>
    <m/>
    <m/>
  </r>
  <r>
    <x v="3"/>
    <s v="Hillsborough Community College "/>
    <n v="134495"/>
    <x v="6"/>
    <n v="464794"/>
    <n v="529165"/>
    <n v="407985"/>
    <n v="458387"/>
    <n v="15161"/>
    <n v="14713"/>
    <n v="38151"/>
    <n v="0"/>
    <n v="3497"/>
    <n v="50038"/>
    <n v="0"/>
    <n v="5985"/>
    <n v="0"/>
    <n v="42"/>
    <n v="0"/>
    <n v="0"/>
    <m/>
    <m/>
    <m/>
    <m/>
    <m/>
    <m/>
    <m/>
    <m/>
    <m/>
    <m/>
    <m/>
    <m/>
  </r>
  <r>
    <x v="3"/>
    <s v="Indian River Community College "/>
    <n v="134608"/>
    <x v="6"/>
    <n v="270334"/>
    <n v="299147"/>
    <n v="199390"/>
    <n v="224326"/>
    <n v="16847"/>
    <n v="10713"/>
    <n v="40410"/>
    <n v="5461"/>
    <n v="8226"/>
    <n v="48696"/>
    <n v="6657"/>
    <n v="8755"/>
    <n v="0"/>
    <n v="0"/>
    <n v="0"/>
    <n v="0"/>
    <m/>
    <m/>
    <m/>
    <m/>
    <m/>
    <m/>
    <m/>
    <m/>
    <m/>
    <m/>
    <m/>
    <m/>
  </r>
  <r>
    <x v="3"/>
    <s v="Palm Beach Community College "/>
    <n v="136358"/>
    <x v="6"/>
    <n v="451867"/>
    <n v="515154"/>
    <n v="362944"/>
    <n v="407493"/>
    <n v="12432"/>
    <n v="13437"/>
    <n v="38696"/>
    <n v="2547"/>
    <n v="35248"/>
    <n v="49044"/>
    <n v="2687"/>
    <n v="42493"/>
    <n v="0"/>
    <n v="0"/>
    <n v="0"/>
    <n v="0"/>
    <m/>
    <m/>
    <m/>
    <m/>
    <m/>
    <m/>
    <m/>
    <m/>
    <m/>
    <m/>
    <m/>
    <m/>
  </r>
  <r>
    <x v="3"/>
    <s v="Pasco-Hernando Community College "/>
    <n v="136400"/>
    <x v="6"/>
    <n v="161425"/>
    <n v="185713"/>
    <n v="137268"/>
    <n v="170976"/>
    <n v="3696"/>
    <n v="3772"/>
    <n v="17951"/>
    <n v="0"/>
    <n v="2510"/>
    <n v="10749"/>
    <n v="0"/>
    <n v="216"/>
    <n v="0"/>
    <n v="0"/>
    <n v="0"/>
    <n v="0"/>
    <m/>
    <m/>
    <m/>
    <m/>
    <m/>
    <m/>
    <m/>
    <m/>
    <m/>
    <m/>
    <m/>
    <m/>
  </r>
  <r>
    <x v="3"/>
    <s v="Pensacola Junior College "/>
    <n v="136473"/>
    <x v="6"/>
    <n v="220439"/>
    <n v="231637"/>
    <n v="182831"/>
    <n v="187203"/>
    <n v="12816"/>
    <n v="11434"/>
    <n v="23254"/>
    <n v="0"/>
    <n v="1538"/>
    <n v="30618"/>
    <n v="0"/>
    <n v="2382"/>
    <n v="0"/>
    <n v="0"/>
    <n v="0"/>
    <n v="0"/>
    <m/>
    <m/>
    <m/>
    <m/>
    <m/>
    <m/>
    <m/>
    <m/>
    <m/>
    <m/>
    <m/>
    <m/>
  </r>
  <r>
    <x v="3"/>
    <s v="Polk Community College "/>
    <n v="136516"/>
    <x v="6"/>
    <n v="162446"/>
    <n v="181793"/>
    <n v="140828"/>
    <n v="150628"/>
    <n v="3565"/>
    <n v="5865"/>
    <n v="15080"/>
    <n v="0"/>
    <n v="2973"/>
    <n v="18703"/>
    <n v="0"/>
    <n v="6597"/>
    <n v="0"/>
    <n v="0"/>
    <n v="0"/>
    <n v="0"/>
    <m/>
    <m/>
    <m/>
    <m/>
    <m/>
    <m/>
    <m/>
    <m/>
    <m/>
    <m/>
    <m/>
    <m/>
  </r>
  <r>
    <x v="3"/>
    <s v="Santa Fe Community College "/>
    <n v="137096"/>
    <x v="6"/>
    <n v="343718"/>
    <n v="342055"/>
    <n v="287526"/>
    <n v="277796"/>
    <n v="3272"/>
    <n v="3956"/>
    <n v="42980"/>
    <n v="111"/>
    <n v="9829"/>
    <n v="47701"/>
    <n v="3"/>
    <n v="12599"/>
    <n v="0"/>
    <n v="0"/>
    <n v="0"/>
    <n v="0"/>
    <m/>
    <m/>
    <m/>
    <m/>
    <m/>
    <m/>
    <m/>
    <m/>
    <m/>
    <m/>
    <m/>
    <m/>
  </r>
  <r>
    <x v="3"/>
    <s v="Seminole Community College "/>
    <n v="137209"/>
    <x v="6"/>
    <n v="272182"/>
    <n v="330923"/>
    <n v="232635"/>
    <n v="273596"/>
    <n v="0"/>
    <n v="0"/>
    <n v="36631"/>
    <n v="0"/>
    <n v="2916"/>
    <n v="55437"/>
    <n v="0"/>
    <n v="1890"/>
    <n v="0"/>
    <n v="0"/>
    <n v="0"/>
    <n v="0"/>
    <m/>
    <m/>
    <m/>
    <m/>
    <m/>
    <m/>
    <m/>
    <m/>
    <m/>
    <m/>
    <m/>
    <m/>
  </r>
  <r>
    <x v="3"/>
    <s v="State College of Florida, Manatee-Sarasota"/>
    <n v="135391"/>
    <x v="6"/>
    <n v="241405"/>
    <n v="272386"/>
    <n v="210973"/>
    <n v="233056"/>
    <n v="7381"/>
    <n v="8585"/>
    <n v="17907"/>
    <n v="1900"/>
    <n v="3244"/>
    <n v="24448"/>
    <n v="1695"/>
    <n v="4602"/>
    <n v="0"/>
    <n v="0"/>
    <n v="0"/>
    <n v="0"/>
    <m/>
    <m/>
    <m/>
    <m/>
    <m/>
    <m/>
    <m/>
    <m/>
    <m/>
    <m/>
    <m/>
    <m/>
  </r>
  <r>
    <x v="3"/>
    <s v="Tallahassee Community College "/>
    <n v="137759"/>
    <x v="6"/>
    <n v="308574"/>
    <n v="327104"/>
    <n v="274081"/>
    <n v="285802"/>
    <n v="4180"/>
    <n v="3628"/>
    <n v="28735"/>
    <n v="0"/>
    <n v="1578"/>
    <n v="36856"/>
    <n v="0"/>
    <n v="818"/>
    <n v="0"/>
    <n v="0"/>
    <n v="0"/>
    <n v="0"/>
    <m/>
    <m/>
    <m/>
    <m/>
    <m/>
    <m/>
    <m/>
    <m/>
    <m/>
    <m/>
    <m/>
    <m/>
  </r>
  <r>
    <x v="3"/>
    <s v="Valencia Community College "/>
    <n v="138187"/>
    <x v="6"/>
    <n v="737228"/>
    <n v="827805"/>
    <n v="605323"/>
    <n v="667258"/>
    <n v="72"/>
    <n v="0"/>
    <n v="110038"/>
    <n v="0"/>
    <n v="21795"/>
    <n v="134794"/>
    <n v="0"/>
    <n v="25753"/>
    <n v="0"/>
    <n v="0"/>
    <n v="0"/>
    <n v="0"/>
    <m/>
    <m/>
    <m/>
    <m/>
    <m/>
    <m/>
    <m/>
    <m/>
    <m/>
    <m/>
    <m/>
    <m/>
  </r>
  <r>
    <x v="3"/>
    <s v="Central Florida Community College "/>
    <n v="132851"/>
    <x v="7"/>
    <n v="134717"/>
    <n v="157184"/>
    <n v="112239"/>
    <n v="127918"/>
    <n v="0"/>
    <n v="0"/>
    <n v="17573"/>
    <n v="0"/>
    <n v="4905"/>
    <n v="22706"/>
    <n v="0"/>
    <n v="6560"/>
    <n v="0"/>
    <n v="0"/>
    <n v="0"/>
    <n v="0"/>
    <m/>
    <m/>
    <m/>
    <m/>
    <m/>
    <m/>
    <m/>
    <m/>
    <m/>
    <m/>
    <m/>
    <m/>
  </r>
  <r>
    <x v="3"/>
    <s v="Gulf Coast Community College "/>
    <n v="134343"/>
    <x v="7"/>
    <n v="124256"/>
    <n v="131237"/>
    <n v="86066"/>
    <n v="88216"/>
    <n v="13562"/>
    <n v="14739"/>
    <n v="15893"/>
    <n v="1911"/>
    <n v="6824"/>
    <n v="25057"/>
    <n v="2241"/>
    <n v="984"/>
    <n v="0"/>
    <n v="0"/>
    <n v="0"/>
    <n v="0"/>
    <m/>
    <m/>
    <m/>
    <m/>
    <m/>
    <m/>
    <m/>
    <m/>
    <m/>
    <m/>
    <m/>
    <m/>
  </r>
  <r>
    <x v="3"/>
    <s v="Lake City Community College "/>
    <n v="135160"/>
    <x v="7"/>
    <n v="54399"/>
    <n v="57014"/>
    <n v="33279"/>
    <n v="31787"/>
    <n v="213"/>
    <n v="761"/>
    <n v="15600"/>
    <n v="5307"/>
    <n v="0"/>
    <n v="19677"/>
    <n v="3983"/>
    <n v="806"/>
    <n v="0"/>
    <n v="0"/>
    <n v="0"/>
    <n v="0"/>
    <m/>
    <m/>
    <m/>
    <m/>
    <m/>
    <m/>
    <m/>
    <m/>
    <m/>
    <m/>
    <m/>
    <m/>
  </r>
  <r>
    <x v="3"/>
    <s v="Lake-Sumter Community College "/>
    <n v="135188"/>
    <x v="7"/>
    <n v="79372"/>
    <n v="89279"/>
    <n v="66821"/>
    <n v="75831"/>
    <n v="428"/>
    <n v="0"/>
    <n v="3660"/>
    <n v="0"/>
    <n v="7630"/>
    <n v="4152"/>
    <n v="0"/>
    <n v="9066"/>
    <n v="833"/>
    <n v="230"/>
    <n v="0"/>
    <n v="0"/>
    <m/>
    <m/>
    <m/>
    <m/>
    <m/>
    <m/>
    <m/>
    <m/>
    <m/>
    <m/>
    <m/>
    <m/>
  </r>
  <r>
    <x v="3"/>
    <s v="South Florida Community College "/>
    <n v="137315"/>
    <x v="7"/>
    <n v="42583"/>
    <n v="47534"/>
    <n v="25853"/>
    <n v="28956"/>
    <n v="10989"/>
    <n v="12275"/>
    <n v="3254"/>
    <n v="1212"/>
    <n v="1275"/>
    <n v="4512"/>
    <n v="1350"/>
    <n v="441"/>
    <n v="0"/>
    <n v="0"/>
    <n v="0"/>
    <n v="0"/>
    <m/>
    <m/>
    <m/>
    <m/>
    <m/>
    <m/>
    <m/>
    <m/>
    <m/>
    <m/>
    <m/>
    <m/>
  </r>
  <r>
    <x v="3"/>
    <s v="St. Johns River Community College "/>
    <n v="137281"/>
    <x v="7"/>
    <n v="111344"/>
    <n v="126280"/>
    <n v="83157"/>
    <n v="91984"/>
    <n v="5018"/>
    <n v="6693"/>
    <n v="22481"/>
    <n v="0"/>
    <n v="688"/>
    <n v="26324"/>
    <n v="0"/>
    <n v="1279"/>
    <n v="0"/>
    <n v="0"/>
    <n v="0"/>
    <n v="0"/>
    <m/>
    <m/>
    <m/>
    <m/>
    <m/>
    <m/>
    <m/>
    <m/>
    <m/>
    <m/>
    <m/>
    <m/>
  </r>
  <r>
    <x v="3"/>
    <s v="Florida Keys Community College "/>
    <n v="133960"/>
    <x v="8"/>
    <n v="24528"/>
    <n v="28123"/>
    <n v="15749"/>
    <n v="19358"/>
    <n v="2296"/>
    <n v="1998"/>
    <n v="2134"/>
    <n v="1911"/>
    <n v="1895"/>
    <n v="2708"/>
    <n v="675"/>
    <n v="3072"/>
    <n v="543"/>
    <n v="312"/>
    <n v="0"/>
    <n v="0"/>
    <m/>
    <m/>
    <m/>
    <m/>
    <m/>
    <m/>
    <m/>
    <m/>
    <m/>
    <m/>
    <m/>
    <m/>
  </r>
  <r>
    <x v="3"/>
    <s v="North Florida Community College "/>
    <n v="136145"/>
    <x v="8"/>
    <n v="21966"/>
    <n v="22425"/>
    <n v="15055"/>
    <n v="16780"/>
    <n v="1270"/>
    <n v="1368"/>
    <n v="4533"/>
    <n v="0"/>
    <n v="1108"/>
    <n v="3941"/>
    <n v="0"/>
    <n v="336"/>
    <n v="0"/>
    <n v="0"/>
    <n v="0"/>
    <n v="0"/>
    <m/>
    <m/>
    <m/>
    <m/>
    <m/>
    <m/>
    <m/>
    <m/>
    <m/>
    <m/>
    <m/>
    <m/>
  </r>
  <r>
    <x v="4"/>
    <s v="Albany Technical College"/>
    <n v="138682"/>
    <x v="9"/>
    <n v="122631"/>
    <n v="157333"/>
    <n v="69847"/>
    <n v="113578"/>
    <m/>
    <m/>
    <n v="52784"/>
    <n v="0"/>
    <n v="0"/>
    <n v="43755"/>
    <n v="0"/>
    <n v="0"/>
    <m/>
    <m/>
    <n v="0"/>
    <n v="0"/>
    <m/>
    <m/>
    <m/>
    <m/>
    <m/>
    <m/>
    <m/>
    <m/>
    <m/>
    <m/>
    <m/>
    <m/>
  </r>
  <r>
    <x v="4"/>
    <s v="Atlanta Technical College"/>
    <n v="138840"/>
    <x v="9"/>
    <n v="137120"/>
    <n v="172661"/>
    <n v="111725"/>
    <n v="151241"/>
    <m/>
    <m/>
    <n v="25395"/>
    <n v="0"/>
    <n v="0"/>
    <n v="21420"/>
    <n v="0"/>
    <n v="0"/>
    <m/>
    <m/>
    <n v="0"/>
    <n v="0"/>
    <m/>
    <m/>
    <m/>
    <m/>
    <m/>
    <m/>
    <m/>
    <m/>
    <m/>
    <m/>
    <m/>
    <m/>
  </r>
  <r>
    <x v="4"/>
    <s v="Augusta Technical College"/>
    <n v="138956"/>
    <x v="9"/>
    <n v="174483"/>
    <n v="183274"/>
    <n v="145346"/>
    <n v="161008"/>
    <m/>
    <m/>
    <n v="29137"/>
    <n v="0"/>
    <n v="0"/>
    <n v="22266"/>
    <n v="0"/>
    <n v="0"/>
    <m/>
    <m/>
    <n v="0"/>
    <n v="0"/>
    <m/>
    <m/>
    <m/>
    <m/>
    <m/>
    <m/>
    <m/>
    <m/>
    <m/>
    <m/>
    <m/>
    <m/>
  </r>
  <r>
    <x v="4"/>
    <s v="East Central Technical College"/>
    <n v="139126"/>
    <x v="9"/>
    <n v="50514"/>
    <n v="64968"/>
    <n v="43318"/>
    <n v="57523"/>
    <m/>
    <m/>
    <n v="7196"/>
    <n v="0"/>
    <n v="0"/>
    <n v="7445"/>
    <n v="0"/>
    <n v="0"/>
    <m/>
    <m/>
    <n v="0"/>
    <n v="0"/>
    <m/>
    <m/>
    <m/>
    <m/>
    <m/>
    <m/>
    <m/>
    <m/>
    <m/>
    <m/>
    <m/>
    <m/>
  </r>
  <r>
    <x v="4"/>
    <s v="West Georgia Technical College"/>
    <n v="139278"/>
    <x v="9"/>
    <n v="188288"/>
    <n v="236439"/>
    <n v="159613"/>
    <n v="202474"/>
    <n v="0"/>
    <n v="0"/>
    <n v="28675"/>
    <n v="0"/>
    <n v="0"/>
    <n v="33965"/>
    <n v="0"/>
    <n v="0"/>
    <n v="0"/>
    <n v="0"/>
    <n v="0"/>
    <n v="0"/>
    <m/>
    <m/>
    <m/>
    <m/>
    <m/>
    <m/>
    <m/>
    <m/>
    <m/>
    <m/>
    <m/>
    <m/>
  </r>
  <r>
    <x v="4"/>
    <s v="Columbus Technical College"/>
    <n v="139357"/>
    <x v="9"/>
    <n v="132290"/>
    <n v="139974"/>
    <n v="110556"/>
    <n v="120489"/>
    <m/>
    <m/>
    <n v="21734"/>
    <n v="0"/>
    <n v="0"/>
    <n v="19485"/>
    <n v="0"/>
    <n v="0"/>
    <m/>
    <m/>
    <n v="0"/>
    <n v="0"/>
    <m/>
    <m/>
    <m/>
    <m/>
    <m/>
    <m/>
    <m/>
    <m/>
    <m/>
    <m/>
    <m/>
    <m/>
  </r>
  <r>
    <x v="4"/>
    <s v="Georgia Northwestern Technical College"/>
    <n v="139384"/>
    <x v="9"/>
    <n v="188742"/>
    <n v="226352"/>
    <n v="123832"/>
    <n v="175975"/>
    <n v="0"/>
    <n v="0"/>
    <n v="64108"/>
    <n v="741"/>
    <n v="61"/>
    <n v="50377"/>
    <n v="0"/>
    <n v="0"/>
    <n v="0"/>
    <n v="0"/>
    <n v="0"/>
    <n v="0"/>
    <m/>
    <m/>
    <m/>
    <m/>
    <m/>
    <m/>
    <m/>
    <m/>
    <m/>
    <m/>
    <m/>
    <m/>
  </r>
  <r>
    <x v="4"/>
    <s v="Griffin Technical College"/>
    <n v="139986"/>
    <x v="9"/>
    <n v="156133"/>
    <n v="185320"/>
    <n v="102015"/>
    <n v="151991"/>
    <m/>
    <m/>
    <n v="54118"/>
    <n v="0"/>
    <n v="0"/>
    <n v="33329"/>
    <n v="0"/>
    <n v="0"/>
    <m/>
    <m/>
    <n v="0"/>
    <n v="0"/>
    <m/>
    <m/>
    <m/>
    <m/>
    <m/>
    <m/>
    <m/>
    <m/>
    <m/>
    <m/>
    <m/>
    <m/>
  </r>
  <r>
    <x v="4"/>
    <s v="Gwinnett Technical College"/>
    <n v="140012"/>
    <x v="9"/>
    <n v="193854"/>
    <n v="229812"/>
    <n v="97734"/>
    <n v="175979"/>
    <m/>
    <m/>
    <n v="96120"/>
    <n v="0"/>
    <n v="0"/>
    <n v="53833"/>
    <n v="0"/>
    <n v="0"/>
    <m/>
    <m/>
    <n v="0"/>
    <n v="0"/>
    <m/>
    <m/>
    <m/>
    <m/>
    <m/>
    <m/>
    <m/>
    <m/>
    <m/>
    <m/>
    <m/>
    <m/>
  </r>
  <r>
    <x v="4"/>
    <s v="Heart of Georgia Technical College"/>
    <n v="140076"/>
    <x v="9"/>
    <n v="50026"/>
    <n v="60528"/>
    <n v="41800"/>
    <n v="53874"/>
    <m/>
    <m/>
    <n v="7383"/>
    <n v="843"/>
    <n v="0"/>
    <n v="4642"/>
    <n v="2012"/>
    <n v="0"/>
    <m/>
    <m/>
    <n v="0"/>
    <n v="0"/>
    <m/>
    <m/>
    <m/>
    <m/>
    <m/>
    <m/>
    <m/>
    <m/>
    <m/>
    <m/>
    <m/>
    <m/>
  </r>
  <r>
    <x v="4"/>
    <s v="Middle Georgia Technical College"/>
    <n v="140085"/>
    <x v="9"/>
    <n v="113628"/>
    <n v="136968"/>
    <n v="89125"/>
    <n v="110966"/>
    <m/>
    <m/>
    <n v="24503"/>
    <n v="0"/>
    <n v="0"/>
    <n v="26002"/>
    <n v="0"/>
    <n v="0"/>
    <m/>
    <m/>
    <n v="0"/>
    <n v="0"/>
    <m/>
    <m/>
    <m/>
    <m/>
    <m/>
    <m/>
    <m/>
    <m/>
    <m/>
    <m/>
    <m/>
    <m/>
  </r>
  <r>
    <x v="4"/>
    <s v="Lanier Technical College"/>
    <n v="140243"/>
    <x v="9"/>
    <n v="113750.5"/>
    <n v="136384.5"/>
    <n v="49986.5"/>
    <n v="95320.5"/>
    <m/>
    <m/>
    <n v="63764"/>
    <n v="0"/>
    <n v="0"/>
    <n v="41064"/>
    <n v="0"/>
    <n v="0"/>
    <m/>
    <m/>
    <n v="0"/>
    <n v="0"/>
    <m/>
    <m/>
    <m/>
    <m/>
    <m/>
    <m/>
    <m/>
    <m/>
    <m/>
    <m/>
    <m/>
    <m/>
  </r>
  <r>
    <x v="4"/>
    <s v="Central Georgia Technical College"/>
    <n v="140304"/>
    <x v="9"/>
    <n v="198280"/>
    <n v="252693"/>
    <n v="134967"/>
    <n v="183959"/>
    <m/>
    <m/>
    <n v="63313"/>
    <n v="0"/>
    <n v="0"/>
    <n v="68290"/>
    <n v="444"/>
    <n v="0"/>
    <m/>
    <m/>
    <n v="0"/>
    <n v="0"/>
    <m/>
    <m/>
    <m/>
    <m/>
    <m/>
    <m/>
    <m/>
    <m/>
    <m/>
    <m/>
    <m/>
    <m/>
  </r>
  <r>
    <x v="4"/>
    <s v="Chattahoochee Technical College"/>
    <n v="140331"/>
    <x v="9"/>
    <n v="324195"/>
    <n v="387681"/>
    <n v="258368"/>
    <n v="335554"/>
    <n v="0"/>
    <n v="0"/>
    <n v="60677"/>
    <n v="5150"/>
    <n v="0"/>
    <n v="51777"/>
    <n v="350"/>
    <n v="0"/>
    <n v="0"/>
    <n v="0"/>
    <n v="0"/>
    <n v="0"/>
    <m/>
    <m/>
    <m/>
    <m/>
    <m/>
    <m/>
    <m/>
    <m/>
    <m/>
    <m/>
    <m/>
    <m/>
  </r>
  <r>
    <x v="4"/>
    <s v="Moultrie Technical College"/>
    <n v="140599"/>
    <x v="9"/>
    <n v="81789"/>
    <n v="95237"/>
    <n v="68485"/>
    <n v="80188"/>
    <m/>
    <m/>
    <n v="13304"/>
    <n v="0"/>
    <n v="0"/>
    <n v="15049"/>
    <n v="0"/>
    <n v="0"/>
    <m/>
    <m/>
    <n v="0"/>
    <n v="0"/>
    <m/>
    <m/>
    <m/>
    <m/>
    <m/>
    <m/>
    <m/>
    <m/>
    <m/>
    <m/>
    <m/>
    <m/>
  </r>
  <r>
    <x v="4"/>
    <s v="North Georgia Technical College"/>
    <n v="140678"/>
    <x v="9"/>
    <n v="87447"/>
    <n v="113701"/>
    <n v="60047"/>
    <n v="88224"/>
    <m/>
    <m/>
    <n v="24928"/>
    <n v="2472"/>
    <n v="0"/>
    <n v="21682"/>
    <n v="3795"/>
    <n v="0"/>
    <m/>
    <m/>
    <n v="0"/>
    <n v="0"/>
    <m/>
    <m/>
    <m/>
    <m/>
    <m/>
    <m/>
    <m/>
    <m/>
    <m/>
    <m/>
    <m/>
    <m/>
  </r>
  <r>
    <x v="4"/>
    <s v="Savannah Technical College"/>
    <n v="140942"/>
    <x v="9"/>
    <n v="168980"/>
    <n v="196339"/>
    <n v="131961"/>
    <n v="161430"/>
    <m/>
    <m/>
    <n v="37019"/>
    <n v="0"/>
    <n v="0"/>
    <n v="34884"/>
    <n v="25"/>
    <n v="0"/>
    <m/>
    <m/>
    <n v="0"/>
    <n v="0"/>
    <m/>
    <m/>
    <m/>
    <m/>
    <m/>
    <m/>
    <m/>
    <m/>
    <m/>
    <m/>
    <m/>
    <m/>
  </r>
  <r>
    <x v="4"/>
    <s v="South Georgia Technical College"/>
    <n v="141006"/>
    <x v="9"/>
    <n v="79309"/>
    <n v="102285"/>
    <n v="70192"/>
    <n v="90704"/>
    <m/>
    <m/>
    <n v="9117"/>
    <n v="0"/>
    <n v="0"/>
    <n v="11581"/>
    <n v="0"/>
    <n v="0"/>
    <m/>
    <m/>
    <n v="0"/>
    <n v="0"/>
    <m/>
    <m/>
    <m/>
    <m/>
    <m/>
    <m/>
    <m/>
    <m/>
    <m/>
    <m/>
    <m/>
    <m/>
  </r>
  <r>
    <x v="4"/>
    <s v="Southwest Georgia Technical College"/>
    <n v="141158"/>
    <x v="9"/>
    <n v="47673.8"/>
    <n v="58063.4"/>
    <n v="34448.800000000003"/>
    <n v="48075.4"/>
    <m/>
    <m/>
    <n v="13225"/>
    <n v="0"/>
    <n v="0"/>
    <n v="9988"/>
    <n v="0"/>
    <n v="0"/>
    <m/>
    <m/>
    <n v="0"/>
    <n v="0"/>
    <m/>
    <m/>
    <m/>
    <m/>
    <m/>
    <m/>
    <m/>
    <m/>
    <m/>
    <m/>
    <m/>
    <m/>
  </r>
  <r>
    <x v="4"/>
    <s v="Valdosta Technical College"/>
    <n v="141255"/>
    <x v="9"/>
    <n v="92048"/>
    <n v="120468"/>
    <n v="80094"/>
    <n v="107382"/>
    <m/>
    <m/>
    <n v="11954"/>
    <n v="0"/>
    <n v="0"/>
    <n v="13086"/>
    <n v="0"/>
    <n v="0"/>
    <m/>
    <m/>
    <n v="0"/>
    <n v="0"/>
    <m/>
    <m/>
    <m/>
    <m/>
    <m/>
    <m/>
    <m/>
    <m/>
    <m/>
    <m/>
    <m/>
    <m/>
  </r>
  <r>
    <x v="4"/>
    <s v="DeKalb Technical College"/>
    <n v="244446"/>
    <x v="9"/>
    <n v="144137"/>
    <n v="170116"/>
    <n v="97352"/>
    <n v="128931"/>
    <m/>
    <m/>
    <n v="46290"/>
    <n v="495"/>
    <n v="0"/>
    <n v="41185"/>
    <n v="0"/>
    <n v="0"/>
    <m/>
    <m/>
    <n v="0"/>
    <n v="0"/>
    <m/>
    <m/>
    <m/>
    <m/>
    <m/>
    <m/>
    <m/>
    <m/>
    <m/>
    <m/>
    <m/>
    <m/>
  </r>
  <r>
    <x v="4"/>
    <s v="Athens Technical College"/>
    <n v="246813"/>
    <x v="9"/>
    <n v="133248"/>
    <n v="155120"/>
    <n v="116141"/>
    <n v="139400"/>
    <m/>
    <m/>
    <n v="16536"/>
    <n v="571"/>
    <n v="0"/>
    <n v="13815"/>
    <n v="1905"/>
    <n v="0"/>
    <m/>
    <m/>
    <n v="0"/>
    <n v="0"/>
    <m/>
    <m/>
    <m/>
    <m/>
    <m/>
    <m/>
    <m/>
    <m/>
    <m/>
    <m/>
    <m/>
    <m/>
  </r>
  <r>
    <x v="4"/>
    <s v="Okefenokee Technical College"/>
    <n v="248776"/>
    <x v="9"/>
    <n v="50525"/>
    <n v="58188"/>
    <n v="43217"/>
    <n v="53560"/>
    <m/>
    <m/>
    <n v="7308"/>
    <n v="0"/>
    <n v="0"/>
    <n v="4628"/>
    <n v="0"/>
    <n v="0"/>
    <m/>
    <m/>
    <n v="0"/>
    <n v="0"/>
    <m/>
    <m/>
    <m/>
    <m/>
    <m/>
    <m/>
    <m/>
    <m/>
    <m/>
    <m/>
    <m/>
    <m/>
  </r>
  <r>
    <x v="4"/>
    <s v="Flint River Technical College"/>
    <n v="248794"/>
    <x v="10"/>
    <n v="37158.9"/>
    <n v="40522.300000000003"/>
    <n v="31177.9"/>
    <n v="35172.300000000003"/>
    <m/>
    <m/>
    <n v="5981"/>
    <n v="0"/>
    <n v="0"/>
    <n v="5350"/>
    <n v="0"/>
    <n v="0"/>
    <m/>
    <m/>
    <n v="0"/>
    <n v="0"/>
    <m/>
    <m/>
    <m/>
    <m/>
    <m/>
    <m/>
    <m/>
    <m/>
    <m/>
    <m/>
    <m/>
    <m/>
  </r>
  <r>
    <x v="4"/>
    <s v="Altamaha Technical College"/>
    <n v="366447"/>
    <x v="10"/>
    <n v="32801"/>
    <n v="46303"/>
    <n v="31207"/>
    <n v="44400"/>
    <m/>
    <m/>
    <n v="1469"/>
    <n v="125"/>
    <n v="0"/>
    <n v="1903"/>
    <n v="0"/>
    <n v="0"/>
    <m/>
    <m/>
    <n v="0"/>
    <n v="0"/>
    <m/>
    <m/>
    <m/>
    <m/>
    <m/>
    <m/>
    <m/>
    <m/>
    <m/>
    <m/>
    <m/>
    <m/>
  </r>
  <r>
    <x v="4"/>
    <s v="Ogeechee Technical College"/>
    <n v="366465"/>
    <x v="9"/>
    <n v="71637"/>
    <n v="91114"/>
    <n v="38398"/>
    <n v="68984"/>
    <m/>
    <m/>
    <n v="33239"/>
    <n v="0"/>
    <n v="0"/>
    <n v="22130"/>
    <n v="0"/>
    <n v="0"/>
    <m/>
    <m/>
    <n v="0"/>
    <n v="0"/>
    <m/>
    <m/>
    <m/>
    <m/>
    <m/>
    <m/>
    <m/>
    <m/>
    <m/>
    <m/>
    <m/>
    <m/>
  </r>
  <r>
    <x v="4"/>
    <s v="Southeastern Technical College"/>
    <n v="368911"/>
    <x v="9"/>
    <n v="62733"/>
    <n v="71487"/>
    <n v="47263"/>
    <n v="59388"/>
    <n v="0"/>
    <n v="0"/>
    <n v="15470"/>
    <n v="0"/>
    <n v="0"/>
    <n v="11767"/>
    <n v="0"/>
    <n v="332"/>
    <n v="0"/>
    <n v="0"/>
    <n v="0"/>
    <n v="0"/>
    <m/>
    <m/>
    <m/>
    <m/>
    <m/>
    <m/>
    <m/>
    <m/>
    <m/>
    <m/>
    <m/>
    <m/>
  </r>
  <r>
    <x v="4"/>
    <s v="Sandersville Technical College"/>
    <n v="420431"/>
    <x v="10"/>
    <n v="25565"/>
    <n v="33500"/>
    <n v="23338"/>
    <n v="31003"/>
    <m/>
    <m/>
    <n v="2227"/>
    <n v="0"/>
    <n v="0"/>
    <n v="2497"/>
    <n v="0"/>
    <n v="0"/>
    <m/>
    <m/>
    <n v="0"/>
    <n v="0"/>
    <m/>
    <m/>
    <m/>
    <m/>
    <m/>
    <m/>
    <m/>
    <m/>
    <m/>
    <m/>
    <m/>
    <m/>
  </r>
  <r>
    <x v="5"/>
    <s v="University of Kentucky"/>
    <n v="157085"/>
    <x v="0"/>
    <n v="514642"/>
    <n v="521460"/>
    <n v="499006"/>
    <n v="507053"/>
    <n v="2688"/>
    <n v="6607"/>
    <n v="6725"/>
    <m/>
    <n v="6223"/>
    <n v="4691"/>
    <m/>
    <n v="3109"/>
    <m/>
    <m/>
    <n v="81033"/>
    <n v="78715"/>
    <n v="69720"/>
    <n v="68464"/>
    <n v="3976"/>
    <n v="6075"/>
    <n v="6105"/>
    <m/>
    <n v="1232"/>
    <n v="3832"/>
    <m/>
    <n v="344"/>
    <m/>
    <m/>
  </r>
  <r>
    <x v="5"/>
    <s v="University of Louisville"/>
    <n v="157289"/>
    <x v="0"/>
    <n v="387922"/>
    <n v="389422"/>
    <n v="360391"/>
    <n v="358440"/>
    <n v="9227"/>
    <n v="9780"/>
    <n v="18031"/>
    <m/>
    <n v="273"/>
    <n v="21202"/>
    <m/>
    <n v="0"/>
    <m/>
    <m/>
    <n v="79712"/>
    <n v="76001"/>
    <n v="70218"/>
    <n v="68025"/>
    <n v="4593"/>
    <n v="3824"/>
    <n v="4901"/>
    <m/>
    <m/>
    <n v="4152"/>
    <m/>
    <m/>
    <m/>
    <m/>
  </r>
  <r>
    <x v="5"/>
    <s v="Eastern Kentucky University "/>
    <n v="156620"/>
    <x v="2"/>
    <n v="363578"/>
    <n v="374976"/>
    <n v="297251"/>
    <n v="299348"/>
    <n v="29693"/>
    <n v="28313"/>
    <n v="25283"/>
    <n v="10505"/>
    <n v="846"/>
    <n v="38045"/>
    <n v="9270"/>
    <n v="0"/>
    <m/>
    <m/>
    <n v="36796"/>
    <n v="33788"/>
    <n v="23182"/>
    <n v="20356"/>
    <n v="2314"/>
    <n v="1350"/>
    <n v="9753"/>
    <n v="1547"/>
    <m/>
    <n v="10843"/>
    <n v="1239"/>
    <m/>
    <m/>
    <m/>
  </r>
  <r>
    <x v="5"/>
    <s v="Murray State University "/>
    <n v="157401"/>
    <x v="2"/>
    <n v="226067"/>
    <n v="219921"/>
    <n v="200515"/>
    <n v="195731"/>
    <n v="11936"/>
    <n v="10599"/>
    <n v="9412"/>
    <n v="3607"/>
    <n v="597"/>
    <n v="10333"/>
    <n v="3258"/>
    <n v="0"/>
    <m/>
    <m/>
    <n v="29310"/>
    <n v="26257"/>
    <n v="15920"/>
    <n v="15150"/>
    <n v="5234"/>
    <n v="4530"/>
    <n v="6187"/>
    <n v="1969"/>
    <m/>
    <n v="5656"/>
    <n v="921"/>
    <m/>
    <m/>
    <m/>
  </r>
  <r>
    <x v="5"/>
    <s v="Western Kentucky University "/>
    <n v="157951"/>
    <x v="2"/>
    <n v="440931"/>
    <n v="452565"/>
    <n v="354796"/>
    <n v="355401"/>
    <n v="38188"/>
    <n v="37230"/>
    <n v="38278"/>
    <n v="7306"/>
    <n v="2363"/>
    <n v="49524"/>
    <n v="8638"/>
    <n v="1772"/>
    <m/>
    <m/>
    <n v="44466"/>
    <n v="40729"/>
    <n v="22083"/>
    <n v="19421"/>
    <n v="3173"/>
    <n v="2518"/>
    <n v="18323"/>
    <n v="812"/>
    <n v="75"/>
    <n v="18203"/>
    <n v="587"/>
    <m/>
    <m/>
    <m/>
  </r>
  <r>
    <x v="5"/>
    <s v="Morehead State University "/>
    <n v="157386"/>
    <x v="3"/>
    <n v="187816"/>
    <n v="186130"/>
    <n v="141495"/>
    <n v="135136"/>
    <n v="15251"/>
    <n v="14289"/>
    <n v="22208"/>
    <n v="8133"/>
    <n v="729"/>
    <n v="28300"/>
    <n v="8405"/>
    <n v="0"/>
    <m/>
    <m/>
    <n v="22648"/>
    <n v="19311"/>
    <n v="7134"/>
    <n v="5412"/>
    <n v="1559"/>
    <n v="642"/>
    <n v="12920"/>
    <n v="1035"/>
    <m/>
    <n v="12519"/>
    <n v="738"/>
    <m/>
    <m/>
    <m/>
  </r>
  <r>
    <x v="5"/>
    <s v="Northern Kentucky University "/>
    <n v="157447"/>
    <x v="3"/>
    <n v="323636"/>
    <n v="329480"/>
    <n v="292901"/>
    <n v="289848"/>
    <n v="13707"/>
    <n v="14100"/>
    <n v="16416"/>
    <s v=" "/>
    <n v="612"/>
    <n v="25532"/>
    <m/>
    <n v="0"/>
    <m/>
    <m/>
    <n v="37514"/>
    <n v="35949"/>
    <n v="29541"/>
    <n v="28331"/>
    <n v="1166"/>
    <n v="1087"/>
    <n v="6807"/>
    <m/>
    <m/>
    <n v="6531"/>
    <m/>
    <m/>
    <m/>
    <m/>
  </r>
  <r>
    <x v="5"/>
    <s v="Kentucky State University "/>
    <n v="157058"/>
    <x v="4"/>
    <n v="62327"/>
    <n v="63153"/>
    <n v="55636"/>
    <n v="56285"/>
    <n v="0"/>
    <m/>
    <n v="6377"/>
    <n v="314"/>
    <n v="0"/>
    <n v="6868"/>
    <n v="0"/>
    <m/>
    <m/>
    <m/>
    <n v="2666"/>
    <n v="2647"/>
    <n v="1268"/>
    <n v="1354"/>
    <m/>
    <m/>
    <n v="1398"/>
    <m/>
    <m/>
    <n v="1293"/>
    <m/>
    <m/>
    <m/>
    <m/>
  </r>
  <r>
    <x v="5"/>
    <s v="Bluegrass Community and Technical College"/>
    <n v="157173"/>
    <x v="6"/>
    <n v="233103"/>
    <n v="252253"/>
    <n v="164495"/>
    <n v="169193"/>
    <n v="19915"/>
    <n v="22531"/>
    <n v="47219"/>
    <n v="1315"/>
    <n v="159"/>
    <n v="59368"/>
    <n v="1161"/>
    <n v="0"/>
    <m/>
    <m/>
    <n v="0"/>
    <n v="0"/>
    <m/>
    <m/>
    <m/>
    <m/>
    <m/>
    <m/>
    <m/>
    <m/>
    <m/>
    <m/>
    <m/>
    <m/>
  </r>
  <r>
    <x v="5"/>
    <s v="Jefferson Community and Technical College "/>
    <n v="156921"/>
    <x v="6"/>
    <n v="241737"/>
    <n v="256566"/>
    <n v="187228"/>
    <n v="198304"/>
    <n v="17991"/>
    <n v="15415"/>
    <n v="36008"/>
    <n v="369"/>
    <n v="141"/>
    <n v="41607"/>
    <n v="1240"/>
    <n v="0"/>
    <m/>
    <m/>
    <n v="0"/>
    <n v="0"/>
    <m/>
    <m/>
    <m/>
    <m/>
    <m/>
    <m/>
    <m/>
    <m/>
    <m/>
    <m/>
    <m/>
    <m/>
  </r>
  <r>
    <x v="5"/>
    <s v="Ashland Community and Technical College"/>
    <n v="156231"/>
    <x v="7"/>
    <n v="67087"/>
    <n v="75116"/>
    <n v="52698"/>
    <n v="53014"/>
    <n v="4524"/>
    <n v="9012"/>
    <n v="9799"/>
    <m/>
    <n v="66"/>
    <n v="13090"/>
    <m/>
    <n v="0"/>
    <m/>
    <m/>
    <n v="0"/>
    <n v="0"/>
    <m/>
    <m/>
    <m/>
    <m/>
    <m/>
    <m/>
    <m/>
    <m/>
    <m/>
    <m/>
    <m/>
    <m/>
  </r>
  <r>
    <x v="5"/>
    <s v="Big Sandy Community and Technical College "/>
    <n v="157553"/>
    <x v="7"/>
    <n v="74811"/>
    <n v="82437"/>
    <n v="35241"/>
    <n v="36329"/>
    <n v="9164"/>
    <n v="9650"/>
    <n v="29686"/>
    <n v="720"/>
    <m/>
    <n v="35927"/>
    <n v="531"/>
    <m/>
    <m/>
    <m/>
    <n v="0"/>
    <n v="0"/>
    <m/>
    <m/>
    <m/>
    <m/>
    <m/>
    <m/>
    <m/>
    <m/>
    <m/>
    <m/>
    <m/>
    <m/>
  </r>
  <r>
    <x v="5"/>
    <s v="Elizabethtown Community and Technical College "/>
    <n v="156648"/>
    <x v="7"/>
    <n v="94014"/>
    <n v="111450"/>
    <n v="78048"/>
    <n v="87040"/>
    <n v="2599"/>
    <n v="2835"/>
    <n v="12542"/>
    <n v="825"/>
    <m/>
    <n v="21575"/>
    <n v="0"/>
    <m/>
    <m/>
    <m/>
    <n v="0"/>
    <n v="0"/>
    <m/>
    <m/>
    <m/>
    <m/>
    <m/>
    <m/>
    <m/>
    <m/>
    <m/>
    <m/>
    <m/>
    <m/>
  </r>
  <r>
    <x v="5"/>
    <s v="Madisonville Community College"/>
    <n v="157304"/>
    <x v="7"/>
    <n v="63807"/>
    <n v="64167"/>
    <n v="57180"/>
    <n v="56324"/>
    <n v="414"/>
    <n v="251"/>
    <n v="5769"/>
    <n v="300"/>
    <n v="144"/>
    <n v="7553"/>
    <n v="39"/>
    <n v="0"/>
    <m/>
    <m/>
    <n v="0"/>
    <n v="0"/>
    <m/>
    <m/>
    <m/>
    <m/>
    <m/>
    <m/>
    <m/>
    <m/>
    <m/>
    <m/>
    <m/>
    <m/>
  </r>
  <r>
    <x v="5"/>
    <s v="Maysville Community and Technical College "/>
    <n v="157331"/>
    <x v="7"/>
    <n v="74418"/>
    <n v="87464"/>
    <n v="28715"/>
    <n v="33136"/>
    <n v="11821"/>
    <n v="12604"/>
    <n v="32739"/>
    <n v="1143"/>
    <m/>
    <n v="40068"/>
    <n v="1656"/>
    <m/>
    <m/>
    <m/>
    <n v="0"/>
    <n v="0"/>
    <m/>
    <m/>
    <m/>
    <m/>
    <m/>
    <m/>
    <m/>
    <m/>
    <m/>
    <m/>
    <m/>
    <m/>
  </r>
  <r>
    <x v="5"/>
    <s v="Owensboro Community and Technical College "/>
    <n v="247940"/>
    <x v="7"/>
    <n v="79652"/>
    <n v="89523"/>
    <n v="73240"/>
    <n v="81197"/>
    <n v="905"/>
    <n v="775"/>
    <n v="5162"/>
    <m/>
    <n v="345"/>
    <n v="7551"/>
    <m/>
    <n v="0"/>
    <m/>
    <m/>
    <n v="0"/>
    <n v="0"/>
    <m/>
    <m/>
    <m/>
    <m/>
    <m/>
    <m/>
    <m/>
    <m/>
    <m/>
    <m/>
    <m/>
    <m/>
  </r>
  <r>
    <x v="5"/>
    <s v="Somerset Community and Technical College "/>
    <n v="157711"/>
    <x v="7"/>
    <n v="110071"/>
    <n v="130919"/>
    <n v="84564"/>
    <n v="92916"/>
    <n v="6295"/>
    <n v="4297"/>
    <n v="13282"/>
    <n v="5846"/>
    <n v="84"/>
    <n v="27523"/>
    <n v="6183"/>
    <n v="0"/>
    <m/>
    <m/>
    <n v="0"/>
    <n v="0"/>
    <m/>
    <m/>
    <m/>
    <m/>
    <m/>
    <m/>
    <m/>
    <m/>
    <m/>
    <m/>
    <m/>
    <m/>
  </r>
  <r>
    <x v="5"/>
    <s v="Southeast Kentucky Community and Technical College"/>
    <n v="157739"/>
    <x v="7"/>
    <n v="61733"/>
    <n v="66403"/>
    <n v="24591"/>
    <n v="24532"/>
    <n v="23678"/>
    <n v="25438"/>
    <n v="12157"/>
    <n v="920"/>
    <n v="387"/>
    <n v="14928"/>
    <n v="1505"/>
    <n v="0"/>
    <m/>
    <m/>
    <n v="0"/>
    <n v="0"/>
    <m/>
    <m/>
    <m/>
    <m/>
    <m/>
    <m/>
    <m/>
    <m/>
    <m/>
    <m/>
    <m/>
    <m/>
  </r>
  <r>
    <x v="5"/>
    <s v="West Kentucky Community and Technical College"/>
    <n v="157483"/>
    <x v="7"/>
    <n v="95981"/>
    <n v="107791"/>
    <n v="71703"/>
    <n v="75568"/>
    <n v="2735"/>
    <n v="3177"/>
    <n v="21151"/>
    <n v="392"/>
    <m/>
    <n v="28658"/>
    <n v="388"/>
    <m/>
    <m/>
    <m/>
    <n v="0"/>
    <n v="0"/>
    <m/>
    <m/>
    <m/>
    <m/>
    <m/>
    <m/>
    <m/>
    <m/>
    <m/>
    <m/>
    <m/>
    <m/>
  </r>
  <r>
    <x v="5"/>
    <s v="Hazard Community and Technical College"/>
    <n v="156790"/>
    <x v="8"/>
    <n v="55478"/>
    <n v="58419"/>
    <n v="42829"/>
    <n v="44466"/>
    <n v="919"/>
    <n v="343"/>
    <n v="9984"/>
    <n v="1746"/>
    <m/>
    <n v="12262"/>
    <n v="1348"/>
    <m/>
    <m/>
    <m/>
    <n v="0"/>
    <n v="0"/>
    <m/>
    <m/>
    <m/>
    <m/>
    <m/>
    <m/>
    <m/>
    <m/>
    <m/>
    <m/>
    <m/>
    <m/>
  </r>
  <r>
    <x v="5"/>
    <s v="Henderson Community College "/>
    <n v="156851"/>
    <x v="8"/>
    <n v="36843"/>
    <n v="40244"/>
    <n v="23233"/>
    <n v="24759"/>
    <n v="744"/>
    <n v="567"/>
    <n v="12524"/>
    <n v="342"/>
    <m/>
    <n v="14571"/>
    <n v="347"/>
    <m/>
    <m/>
    <m/>
    <n v="0"/>
    <n v="0"/>
    <m/>
    <m/>
    <m/>
    <m/>
    <m/>
    <m/>
    <m/>
    <m/>
    <m/>
    <m/>
    <m/>
    <m/>
  </r>
  <r>
    <x v="5"/>
    <s v="Hopkinsville Community College "/>
    <n v="156860"/>
    <x v="8"/>
    <n v="56179"/>
    <n v="69001"/>
    <n v="42717"/>
    <n v="51219"/>
    <n v="2615"/>
    <n v="3051"/>
    <n v="10847"/>
    <m/>
    <m/>
    <n v="14731"/>
    <m/>
    <m/>
    <m/>
    <m/>
    <n v="0"/>
    <n v="0"/>
    <m/>
    <m/>
    <m/>
    <m/>
    <m/>
    <m/>
    <m/>
    <m/>
    <m/>
    <m/>
    <m/>
    <m/>
  </r>
  <r>
    <x v="5"/>
    <s v="Bowling Green Technical College"/>
    <n v="156338"/>
    <x v="9"/>
    <n v="39049"/>
    <n v="51294"/>
    <n v="36501"/>
    <n v="46158"/>
    <n v="509"/>
    <n v="566"/>
    <n v="2039"/>
    <m/>
    <m/>
    <n v="4570"/>
    <m/>
    <m/>
    <m/>
    <m/>
    <n v="0"/>
    <n v="0"/>
    <m/>
    <m/>
    <m/>
    <m/>
    <m/>
    <m/>
    <m/>
    <m/>
    <m/>
    <m/>
    <m/>
    <m/>
  </r>
  <r>
    <x v="5"/>
    <s v="Gateway Community and Technical College"/>
    <n v="157438"/>
    <x v="9"/>
    <n v="48812"/>
    <n v="59201"/>
    <n v="47844"/>
    <n v="58104"/>
    <n v="73"/>
    <n v="0"/>
    <n v="895"/>
    <m/>
    <m/>
    <n v="1097"/>
    <m/>
    <m/>
    <m/>
    <m/>
    <n v="0"/>
    <n v="0"/>
    <m/>
    <m/>
    <m/>
    <m/>
    <m/>
    <m/>
    <m/>
    <m/>
    <m/>
    <m/>
    <m/>
    <m/>
  </r>
  <r>
    <x v="6"/>
    <s v="dummy"/>
    <m/>
    <x v="0"/>
    <m/>
    <m/>
    <m/>
    <m/>
    <m/>
    <m/>
    <m/>
    <m/>
    <m/>
    <m/>
    <m/>
    <m/>
    <m/>
    <m/>
    <n v="0"/>
    <n v="0"/>
    <m/>
    <m/>
    <m/>
    <m/>
    <m/>
    <m/>
    <m/>
    <m/>
    <m/>
    <m/>
    <m/>
    <m/>
  </r>
  <r>
    <x v="7"/>
    <s v="University of Maryland College Park"/>
    <n v="163286"/>
    <x v="0"/>
    <n v="779086.5"/>
    <n v="791533.5"/>
    <n v="760602.5"/>
    <n v="768245.5"/>
    <n v="14058"/>
    <n v="16125"/>
    <n v="4087"/>
    <n v="339"/>
    <n v="0"/>
    <n v="6812"/>
    <n v="351"/>
    <m/>
    <n v="0"/>
    <m/>
    <n v="148639.25"/>
    <n v="154875"/>
    <n v="115063.25"/>
    <n v="116375"/>
    <n v="29747"/>
    <n v="32673"/>
    <n v="3092"/>
    <n v="737"/>
    <n v="0"/>
    <n v="4988"/>
    <n v="839"/>
    <m/>
    <n v="0"/>
    <m/>
  </r>
  <r>
    <x v="7"/>
    <s v="University of Maryland, Baltimore County"/>
    <n v="163268"/>
    <x v="1"/>
    <n v="252345"/>
    <n v="269872"/>
    <n v="246729"/>
    <n v="251849"/>
    <n v="4678"/>
    <n v="5587"/>
    <n v="938"/>
    <n v="0"/>
    <n v="0"/>
    <n v="12436"/>
    <m/>
    <m/>
    <n v="0"/>
    <m/>
    <n v="25309"/>
    <n v="31112"/>
    <n v="18667"/>
    <n v="23732"/>
    <n v="3159"/>
    <n v="1951"/>
    <n v="3483"/>
    <n v="0"/>
    <n v="0"/>
    <n v="5429"/>
    <m/>
    <m/>
    <n v="0"/>
    <m/>
  </r>
  <r>
    <x v="7"/>
    <s v="Morgan State University"/>
    <n v="163453"/>
    <x v="2"/>
    <n v="163588"/>
    <n v="168327"/>
    <n v="163087"/>
    <n v="165150"/>
    <n v="362"/>
    <n v="2672"/>
    <n v="139"/>
    <n v="0"/>
    <n v="0"/>
    <n v="505"/>
    <m/>
    <m/>
    <n v="0"/>
    <m/>
    <n v="13707"/>
    <n v="15521"/>
    <n v="13263"/>
    <n v="15238"/>
    <n v="423"/>
    <n v="166"/>
    <n v="21"/>
    <n v="0"/>
    <n v="0"/>
    <n v="117"/>
    <m/>
    <m/>
    <n v="0"/>
    <m/>
  </r>
  <r>
    <x v="7"/>
    <s v="Towson University "/>
    <n v="164076"/>
    <x v="2"/>
    <n v="476204.5"/>
    <n v="497207.5"/>
    <n v="457162.5"/>
    <n v="471868.5"/>
    <n v="6662"/>
    <n v="7816"/>
    <n v="12380"/>
    <n v="0"/>
    <n v="0"/>
    <n v="17523"/>
    <m/>
    <m/>
    <n v="0"/>
    <m/>
    <n v="52483"/>
    <n v="54797"/>
    <n v="31725"/>
    <n v="33561"/>
    <n v="17128"/>
    <n v="16660"/>
    <n v="3630"/>
    <n v="0"/>
    <n v="0"/>
    <n v="4576"/>
    <m/>
    <m/>
    <n v="0"/>
    <m/>
  </r>
  <r>
    <x v="7"/>
    <s v="Bowie State University "/>
    <n v="162007"/>
    <x v="3"/>
    <n v="119823"/>
    <n v="121611"/>
    <n v="115507"/>
    <n v="115315"/>
    <n v="848"/>
    <n v="288"/>
    <n v="2178"/>
    <n v="0"/>
    <n v="1290"/>
    <n v="5555"/>
    <n v="453"/>
    <n v="0"/>
    <n v="0"/>
    <m/>
    <n v="15774"/>
    <n v="16888"/>
    <n v="15359"/>
    <n v="15478"/>
    <n v="199"/>
    <n v="654"/>
    <n v="216"/>
    <n v="0"/>
    <n v="0"/>
    <n v="756"/>
    <m/>
    <m/>
    <n v="0"/>
    <m/>
  </r>
  <r>
    <x v="7"/>
    <s v="Coppin State University"/>
    <n v="162283"/>
    <x v="3"/>
    <n v="84589"/>
    <n v="86915"/>
    <n v="74909"/>
    <n v="79181"/>
    <n v="1140"/>
    <n v="45"/>
    <n v="8540"/>
    <n v="0"/>
    <n v="0"/>
    <n v="7689"/>
    <m/>
    <m/>
    <n v="0"/>
    <m/>
    <n v="9586"/>
    <n v="8880"/>
    <n v="6685"/>
    <n v="5673"/>
    <n v="2526"/>
    <n v="2567"/>
    <n v="375"/>
    <n v="0"/>
    <n v="0"/>
    <n v="640"/>
    <m/>
    <m/>
    <n v="0"/>
    <m/>
  </r>
  <r>
    <x v="7"/>
    <s v="Frostburg State University "/>
    <n v="162584"/>
    <x v="3"/>
    <n v="127379"/>
    <n v="132959"/>
    <n v="115693"/>
    <n v="119838"/>
    <n v="1918"/>
    <n v="2126"/>
    <n v="9579"/>
    <n v="189"/>
    <n v="0"/>
    <n v="10791"/>
    <n v="204"/>
    <m/>
    <n v="0"/>
    <m/>
    <n v="10718"/>
    <n v="10600"/>
    <n v="4760"/>
    <n v="4739"/>
    <n v="2936"/>
    <n v="2614"/>
    <n v="2842"/>
    <n v="180"/>
    <n v="0"/>
    <n v="2995"/>
    <n v="252"/>
    <m/>
    <n v="0"/>
    <m/>
  </r>
  <r>
    <x v="7"/>
    <s v="Salisbury University "/>
    <n v="163851"/>
    <x v="3"/>
    <n v="213277"/>
    <n v="221268"/>
    <n v="202984"/>
    <n v="207647"/>
    <n v="570"/>
    <n v="1705"/>
    <n v="9047"/>
    <n v="676"/>
    <n v="0"/>
    <n v="11138"/>
    <n v="778"/>
    <m/>
    <n v="0"/>
    <m/>
    <n v="9649"/>
    <n v="10102"/>
    <n v="7879"/>
    <n v="7641"/>
    <n v="159"/>
    <n v="333"/>
    <n v="1166"/>
    <n v="445"/>
    <n v="0"/>
    <n v="989"/>
    <n v="1139"/>
    <m/>
    <n v="0"/>
    <m/>
  </r>
  <r>
    <x v="7"/>
    <s v="University of Baltimore"/>
    <n v="161873"/>
    <x v="3"/>
    <n v="54599"/>
    <n v="62168"/>
    <n v="45947"/>
    <n v="49310"/>
    <n v="690"/>
    <n v="957"/>
    <n v="7962"/>
    <n v="0"/>
    <n v="0"/>
    <n v="11901"/>
    <m/>
    <m/>
    <n v="0"/>
    <m/>
    <n v="57345"/>
    <n v="58317"/>
    <n v="45918"/>
    <n v="46660"/>
    <n v="4140"/>
    <n v="3413"/>
    <n v="7287"/>
    <n v="0"/>
    <n v="0"/>
    <n v="8244"/>
    <m/>
    <m/>
    <n v="0"/>
    <m/>
  </r>
  <r>
    <x v="7"/>
    <s v="University of Maryland Eastern Shore "/>
    <n v="163338"/>
    <x v="3"/>
    <n v="105414"/>
    <n v="112051"/>
    <n v="102181"/>
    <n v="106313"/>
    <n v="1504"/>
    <n v="2046"/>
    <n v="1729"/>
    <n v="0"/>
    <n v="0"/>
    <n v="3692"/>
    <m/>
    <m/>
    <n v="0"/>
    <m/>
    <n v="7404"/>
    <n v="7677"/>
    <n v="7192"/>
    <n v="7379"/>
    <n v="101"/>
    <n v="175"/>
    <n v="111"/>
    <n v="0"/>
    <n v="0"/>
    <n v="123"/>
    <m/>
    <m/>
    <n v="0"/>
    <m/>
  </r>
  <r>
    <x v="7"/>
    <s v="Saint Mary's College of Maryland"/>
    <n v="163912"/>
    <x v="5"/>
    <n v="61934"/>
    <n v="61956"/>
    <n v="61934"/>
    <n v="61956"/>
    <n v="0"/>
    <m/>
    <n v="0"/>
    <n v="0"/>
    <n v="0"/>
    <m/>
    <m/>
    <m/>
    <n v="0"/>
    <m/>
    <n v="1282"/>
    <n v="1900"/>
    <n v="1282"/>
    <n v="1900"/>
    <n v="0"/>
    <m/>
    <n v="0"/>
    <n v="0"/>
    <n v="0"/>
    <m/>
    <m/>
    <m/>
    <n v="0"/>
    <m/>
  </r>
  <r>
    <x v="7"/>
    <s v="Anne Arundel Community College "/>
    <n v="161767"/>
    <x v="6"/>
    <n v="276100"/>
    <n v="303331"/>
    <n v="220849"/>
    <n v="237469"/>
    <n v="5203"/>
    <n v="5079"/>
    <n v="47983"/>
    <n v="301"/>
    <n v="1764"/>
    <n v="59508"/>
    <n v="324"/>
    <n v="951"/>
    <n v="0"/>
    <m/>
    <n v="0"/>
    <n v="0"/>
    <m/>
    <m/>
    <m/>
    <m/>
    <m/>
    <m/>
    <m/>
    <m/>
    <m/>
    <m/>
    <m/>
    <m/>
  </r>
  <r>
    <x v="7"/>
    <s v="Community College of Baltimore County (all campuses)"/>
    <n v="434672"/>
    <x v="6"/>
    <n v="370148.5"/>
    <n v="420006"/>
    <n v="304273"/>
    <n v="339948"/>
    <n v="30246.5"/>
    <n v="34410"/>
    <n v="35245"/>
    <n v="384"/>
    <n v="0"/>
    <n v="45270"/>
    <n v="378"/>
    <m/>
    <n v="0"/>
    <m/>
    <n v="0"/>
    <n v="0"/>
    <m/>
    <m/>
    <m/>
    <m/>
    <m/>
    <m/>
    <m/>
    <m/>
    <m/>
    <m/>
    <m/>
    <m/>
  </r>
  <r>
    <x v="7"/>
    <s v="Montgomery College (all campuses)"/>
    <n v="163426"/>
    <x v="6"/>
    <n v="570269.69000000006"/>
    <n v="634842"/>
    <n v="476358.36"/>
    <n v="518683"/>
    <n v="65497.8"/>
    <n v="76223"/>
    <n v="28413.53"/>
    <n v="0"/>
    <n v="0"/>
    <n v="39936"/>
    <m/>
    <m/>
    <n v="0"/>
    <m/>
    <n v="0"/>
    <n v="0"/>
    <m/>
    <m/>
    <m/>
    <m/>
    <m/>
    <m/>
    <m/>
    <m/>
    <m/>
    <m/>
    <m/>
    <m/>
  </r>
  <r>
    <x v="7"/>
    <s v="Prince George's Community College "/>
    <n v="163657"/>
    <x v="6"/>
    <n v="211482"/>
    <n v="237561"/>
    <n v="156047"/>
    <n v="173689"/>
    <n v="28567"/>
    <n v="30870"/>
    <n v="26868"/>
    <n v="0"/>
    <n v="0"/>
    <n v="33002"/>
    <m/>
    <m/>
    <n v="0"/>
    <m/>
    <n v="0"/>
    <n v="0"/>
    <m/>
    <m/>
    <m/>
    <m/>
    <m/>
    <m/>
    <m/>
    <m/>
    <m/>
    <m/>
    <m/>
    <m/>
  </r>
  <r>
    <x v="7"/>
    <s v="Allegany College of Maryland"/>
    <n v="161688"/>
    <x v="7"/>
    <n v="74103"/>
    <n v="78413"/>
    <n v="49660"/>
    <n v="52502"/>
    <n v="16299"/>
    <n v="16566"/>
    <n v="6193"/>
    <n v="1534"/>
    <n v="417"/>
    <n v="7269"/>
    <n v="1851"/>
    <n v="225"/>
    <n v="0"/>
    <m/>
    <n v="0"/>
    <n v="0"/>
    <m/>
    <m/>
    <m/>
    <m/>
    <m/>
    <m/>
    <m/>
    <m/>
    <m/>
    <m/>
    <m/>
    <m/>
  </r>
  <r>
    <x v="7"/>
    <s v="Baltimore City Community College"/>
    <n v="161864"/>
    <x v="7"/>
    <n v="222666"/>
    <n v="141341"/>
    <n v="142783"/>
    <n v="114280"/>
    <n v="47707"/>
    <n v="3253"/>
    <n v="32176"/>
    <n v="0"/>
    <n v="0"/>
    <n v="23808"/>
    <m/>
    <m/>
    <n v="0"/>
    <m/>
    <n v="0"/>
    <n v="0"/>
    <m/>
    <m/>
    <m/>
    <m/>
    <m/>
    <m/>
    <m/>
    <m/>
    <m/>
    <m/>
    <m/>
    <m/>
  </r>
  <r>
    <x v="7"/>
    <s v="College of Southern Maryland"/>
    <n v="162122"/>
    <x v="7"/>
    <n v="142423"/>
    <n v="157309"/>
    <n v="108221"/>
    <n v="114172"/>
    <n v="2288"/>
    <n v="3244"/>
    <n v="28289"/>
    <n v="1091"/>
    <n v="2534"/>
    <n v="37304"/>
    <n v="794"/>
    <n v="1795"/>
    <n v="0"/>
    <m/>
    <n v="0"/>
    <n v="0"/>
    <m/>
    <m/>
    <m/>
    <m/>
    <m/>
    <m/>
    <m/>
    <m/>
    <m/>
    <m/>
    <m/>
    <m/>
  </r>
  <r>
    <x v="7"/>
    <s v="Frederick Community College "/>
    <n v="162557"/>
    <x v="7"/>
    <n v="101603"/>
    <n v="74785"/>
    <n v="84864"/>
    <n v="55337"/>
    <n v="3500"/>
    <n v="5020"/>
    <n v="13239"/>
    <n v="0"/>
    <n v="0"/>
    <n v="14428"/>
    <m/>
    <m/>
    <n v="0"/>
    <m/>
    <n v="0"/>
    <n v="0"/>
    <m/>
    <m/>
    <m/>
    <m/>
    <m/>
    <m/>
    <m/>
    <m/>
    <m/>
    <m/>
    <m/>
    <m/>
  </r>
  <r>
    <x v="7"/>
    <s v="Hagerstown Community College "/>
    <n v="162690"/>
    <x v="7"/>
    <n v="75137"/>
    <n v="86223"/>
    <n v="60978"/>
    <n v="68995"/>
    <n v="6375"/>
    <n v="7018"/>
    <n v="7331"/>
    <n v="0"/>
    <n v="312"/>
    <n v="9817"/>
    <n v="0"/>
    <n v="252"/>
    <n v="141"/>
    <n v="141"/>
    <n v="0"/>
    <n v="0"/>
    <m/>
    <m/>
    <m/>
    <m/>
    <m/>
    <m/>
    <m/>
    <m/>
    <m/>
    <m/>
    <m/>
    <m/>
  </r>
  <r>
    <x v="7"/>
    <s v="Harford Community College "/>
    <n v="162706"/>
    <x v="7"/>
    <n v="111572"/>
    <n v="123442"/>
    <n v="96952"/>
    <n v="104332.5"/>
    <n v="1154"/>
    <n v="1424"/>
    <n v="13466"/>
    <n v="0"/>
    <n v="0"/>
    <n v="17685.5"/>
    <m/>
    <m/>
    <n v="0"/>
    <m/>
    <n v="0"/>
    <n v="0"/>
    <m/>
    <m/>
    <m/>
    <m/>
    <m/>
    <m/>
    <m/>
    <m/>
    <m/>
    <m/>
    <m/>
    <m/>
  </r>
  <r>
    <x v="7"/>
    <s v="Howard Community College "/>
    <n v="162779"/>
    <x v="7"/>
    <n v="146974"/>
    <n v="159884"/>
    <n v="131343"/>
    <n v="142555"/>
    <n v="5421"/>
    <n v="5362"/>
    <n v="9700"/>
    <n v="0"/>
    <n v="510"/>
    <n v="11403"/>
    <n v="66"/>
    <n v="498"/>
    <n v="0"/>
    <m/>
    <n v="0"/>
    <n v="0"/>
    <m/>
    <m/>
    <m/>
    <m/>
    <m/>
    <m/>
    <m/>
    <m/>
    <m/>
    <m/>
    <m/>
    <m/>
  </r>
  <r>
    <x v="7"/>
    <s v="Carroll Community College"/>
    <n v="405872"/>
    <x v="8"/>
    <n v="60742"/>
    <n v="64893"/>
    <n v="53999"/>
    <n v="57634"/>
    <n v="123"/>
    <n v="0"/>
    <n v="6509"/>
    <n v="111"/>
    <n v="0"/>
    <n v="7160"/>
    <n v="99"/>
    <m/>
    <n v="0"/>
    <n v="0"/>
    <n v="0"/>
    <n v="0"/>
    <m/>
    <m/>
    <m/>
    <m/>
    <m/>
    <m/>
    <m/>
    <m/>
    <m/>
    <m/>
    <m/>
    <m/>
  </r>
  <r>
    <x v="7"/>
    <s v="Cecil Community College "/>
    <n v="162104"/>
    <x v="8"/>
    <n v="42571.5"/>
    <n v="45023.5"/>
    <n v="36802.5"/>
    <n v="38768.5"/>
    <n v="1053"/>
    <n v="1191"/>
    <n v="4716"/>
    <n v="0"/>
    <n v="0"/>
    <n v="5064"/>
    <m/>
    <m/>
    <n v="0"/>
    <m/>
    <n v="0"/>
    <n v="0"/>
    <m/>
    <m/>
    <m/>
    <m/>
    <m/>
    <m/>
    <m/>
    <m/>
    <m/>
    <m/>
    <m/>
    <m/>
  </r>
  <r>
    <x v="7"/>
    <s v="Chesapeake College "/>
    <n v="162168"/>
    <x v="8"/>
    <n v="45201"/>
    <n v="50464"/>
    <n v="30335"/>
    <n v="35423"/>
    <n v="9006"/>
    <n v="8221"/>
    <n v="4859"/>
    <n v="984"/>
    <n v="0"/>
    <n v="5878"/>
    <n v="942"/>
    <m/>
    <n v="17"/>
    <m/>
    <n v="0"/>
    <n v="0"/>
    <m/>
    <m/>
    <m/>
    <m/>
    <m/>
    <m/>
    <m/>
    <m/>
    <m/>
    <m/>
    <m/>
    <m/>
  </r>
  <r>
    <x v="7"/>
    <s v="Garrett College "/>
    <n v="162609"/>
    <x v="8"/>
    <n v="18753.5"/>
    <n v="19093.55"/>
    <n v="15275.5"/>
    <n v="16163.55"/>
    <n v="1310"/>
    <n v="1308"/>
    <n v="1774"/>
    <n v="394"/>
    <n v="0"/>
    <n v="1339"/>
    <n v="283"/>
    <m/>
    <n v="0"/>
    <m/>
    <n v="0"/>
    <n v="0"/>
    <m/>
    <m/>
    <m/>
    <m/>
    <m/>
    <m/>
    <m/>
    <m/>
    <m/>
    <m/>
    <m/>
    <m/>
  </r>
  <r>
    <x v="7"/>
    <s v="Wor-Wic Community College "/>
    <n v="164313"/>
    <x v="8"/>
    <n v="65989"/>
    <n v="73693"/>
    <n v="58262"/>
    <n v="64007"/>
    <n v="975"/>
    <n v="1294"/>
    <n v="6353"/>
    <n v="93"/>
    <n v="306"/>
    <n v="8362"/>
    <n v="30"/>
    <n v="0"/>
    <n v="0"/>
    <m/>
    <n v="0"/>
    <n v="0"/>
    <m/>
    <m/>
    <m/>
    <m/>
    <m/>
    <m/>
    <m/>
    <m/>
    <m/>
    <m/>
    <m/>
    <m/>
  </r>
  <r>
    <x v="7"/>
    <s v="University of Maryland University College"/>
    <n v="163204"/>
    <x v="12"/>
    <n v="351195"/>
    <n v="384318"/>
    <n v="0"/>
    <n v="0"/>
    <n v="57945"/>
    <n v="55546"/>
    <n v="293250"/>
    <n v="0"/>
    <n v="0"/>
    <n v="328772"/>
    <m/>
    <m/>
    <n v="0"/>
    <m/>
    <n v="109857"/>
    <n v="159416"/>
    <m/>
    <n v="0"/>
    <n v="6549"/>
    <n v="5001"/>
    <n v="103308"/>
    <m/>
    <m/>
    <n v="154415"/>
    <m/>
    <m/>
    <m/>
    <m/>
  </r>
  <r>
    <x v="8"/>
    <s v="Mississippi State University"/>
    <n v="176080"/>
    <x v="0"/>
    <n v="375736"/>
    <n v="398852"/>
    <n v="345219"/>
    <n v="367041"/>
    <n v="13554"/>
    <n v="12877"/>
    <n v="12989"/>
    <n v="525"/>
    <n v="1100"/>
    <n v="16125"/>
    <n v="324"/>
    <n v="496"/>
    <n v="2349"/>
    <n v="1989"/>
    <n v="58559"/>
    <n v="60525"/>
    <n v="44571"/>
    <n v="45166"/>
    <n v="3513"/>
    <n v="3303"/>
    <n v="10275"/>
    <n v="158"/>
    <n v="39"/>
    <n v="11717"/>
    <n v="315"/>
    <n v="18"/>
    <n v="3"/>
    <n v="6"/>
  </r>
  <r>
    <x v="8"/>
    <s v="University of Southern Mississippi"/>
    <n v="176372"/>
    <x v="0"/>
    <n v="320459"/>
    <n v="341859"/>
    <n v="256306"/>
    <n v="273586"/>
    <n v="36504"/>
    <n v="37588"/>
    <n v="24529"/>
    <n v="549"/>
    <n v="2571"/>
    <n v="28235"/>
    <n v="416"/>
    <n v="2034"/>
    <m/>
    <m/>
    <n v="58389"/>
    <n v="61276"/>
    <n v="40195"/>
    <n v="41915"/>
    <n v="7925"/>
    <n v="7134"/>
    <n v="9487"/>
    <n v="782"/>
    <s v=" "/>
    <n v="11914"/>
    <n v="310"/>
    <n v="3"/>
    <m/>
    <m/>
  </r>
  <r>
    <x v="8"/>
    <s v="Jackson State University "/>
    <n v="175856"/>
    <x v="1"/>
    <n v="156429"/>
    <n v="151394"/>
    <n v="146626"/>
    <n v="141291"/>
    <n v="6186"/>
    <n v="5751"/>
    <n v="3617"/>
    <m/>
    <m/>
    <n v="4352"/>
    <m/>
    <m/>
    <m/>
    <m/>
    <n v="28022"/>
    <n v="27498"/>
    <n v="20929"/>
    <n v="19342"/>
    <n v="5326"/>
    <n v="6577"/>
    <n v="1767"/>
    <m/>
    <m/>
    <n v="1579"/>
    <m/>
    <m/>
    <m/>
    <m/>
  </r>
  <r>
    <x v="8"/>
    <s v="University of Mississippi"/>
    <n v="176017"/>
    <x v="1"/>
    <n v="368672"/>
    <n v="382246"/>
    <n v="328216"/>
    <n v="342784"/>
    <n v="23431"/>
    <n v="22493"/>
    <n v="7948"/>
    <n v="9071"/>
    <m/>
    <n v="7300"/>
    <n v="9666"/>
    <s v=" "/>
    <n v="6"/>
    <n v="3"/>
    <n v="55031"/>
    <n v="56168"/>
    <n v="49889"/>
    <n v="50220"/>
    <n v="3765"/>
    <n v="3848"/>
    <n v="849"/>
    <n v="528"/>
    <m/>
    <n v="1197"/>
    <n v="903"/>
    <m/>
    <m/>
    <m/>
  </r>
  <r>
    <x v="8"/>
    <s v="Alcorn State University"/>
    <n v="175342"/>
    <x v="3"/>
    <n v="77919"/>
    <n v="77173"/>
    <n v="75893"/>
    <n v="69408"/>
    <n v="0"/>
    <m/>
    <n v="1929"/>
    <n v="35"/>
    <n v="62"/>
    <n v="7624"/>
    <m/>
    <n v="141"/>
    <m/>
    <m/>
    <n v="11283"/>
    <n v="10253"/>
    <n v="9489"/>
    <n v="6502"/>
    <m/>
    <m/>
    <n v="1764"/>
    <n v="30"/>
    <m/>
    <n v="3721"/>
    <m/>
    <n v="30"/>
    <m/>
    <m/>
  </r>
  <r>
    <x v="8"/>
    <s v="Delta State University"/>
    <n v="175616"/>
    <x v="3"/>
    <n v="81838"/>
    <n v="78580"/>
    <n v="72235"/>
    <n v="66961"/>
    <n v="1850"/>
    <n v="1782"/>
    <n v="7585"/>
    <m/>
    <n v="168"/>
    <n v="9837"/>
    <m/>
    <m/>
    <m/>
    <m/>
    <n v="12817"/>
    <n v="14059"/>
    <n v="7633"/>
    <n v="6809"/>
    <n v="525"/>
    <n v="847"/>
    <n v="4551"/>
    <m/>
    <n v="108"/>
    <n v="6343"/>
    <m/>
    <n v="60"/>
    <m/>
    <m/>
  </r>
  <r>
    <x v="8"/>
    <s v="Mississippi Valley State University"/>
    <n v="176044"/>
    <x v="3"/>
    <n v="70414"/>
    <n v="69930"/>
    <n v="60549"/>
    <n v="58749"/>
    <n v="3411"/>
    <n v="2652"/>
    <n v="5082"/>
    <m/>
    <n v="355"/>
    <n v="7362"/>
    <m/>
    <n v="321"/>
    <n v="1017"/>
    <n v="846"/>
    <n v="6753"/>
    <n v="6437"/>
    <n v="5142"/>
    <n v="4756"/>
    <n v="936"/>
    <n v="753"/>
    <n v="525"/>
    <m/>
    <n v="150"/>
    <n v="754"/>
    <m/>
    <n v="174"/>
    <n v="0"/>
    <m/>
  </r>
  <r>
    <x v="8"/>
    <s v="Mississippi University for Women"/>
    <n v="176035"/>
    <x v="4"/>
    <n v="55506"/>
    <n v="57804"/>
    <n v="50006"/>
    <n v="45542"/>
    <m/>
    <n v="648"/>
    <n v="5500"/>
    <m/>
    <m/>
    <n v="11614"/>
    <m/>
    <m/>
    <m/>
    <m/>
    <n v="3095"/>
    <n v="4413"/>
    <n v="2276"/>
    <n v="3192"/>
    <m/>
    <m/>
    <n v="819"/>
    <m/>
    <m/>
    <n v="1221"/>
    <m/>
    <m/>
    <m/>
    <m/>
  </r>
  <r>
    <x v="8"/>
    <s v="Hinds Community College "/>
    <n v="175786"/>
    <x v="6"/>
    <n v="252637"/>
    <n v="283185"/>
    <n v="222871"/>
    <n v="249278"/>
    <m/>
    <m/>
    <n v="29766"/>
    <m/>
    <m/>
    <n v="33907"/>
    <m/>
    <m/>
    <m/>
    <m/>
    <n v="0"/>
    <n v="0"/>
    <m/>
    <m/>
    <m/>
    <m/>
    <m/>
    <m/>
    <m/>
    <m/>
    <m/>
    <m/>
    <m/>
    <m/>
  </r>
  <r>
    <x v="8"/>
    <s v="Mississippi Gulf Coast Community College "/>
    <n v="176071"/>
    <x v="6"/>
    <n v="217817"/>
    <n v="236034"/>
    <n v="186534"/>
    <n v="201358"/>
    <m/>
    <m/>
    <n v="31283"/>
    <m/>
    <m/>
    <n v="34676"/>
    <m/>
    <m/>
    <m/>
    <m/>
    <n v="0"/>
    <n v="0"/>
    <m/>
    <m/>
    <m/>
    <m/>
    <m/>
    <m/>
    <m/>
    <m/>
    <m/>
    <m/>
    <m/>
    <m/>
  </r>
  <r>
    <x v="8"/>
    <s v="Northwest Mississippi Community College "/>
    <n v="176178"/>
    <x v="6"/>
    <n v="169830"/>
    <n v="193298"/>
    <n v="147239"/>
    <n v="165742"/>
    <m/>
    <m/>
    <n v="22591"/>
    <m/>
    <m/>
    <n v="27556"/>
    <m/>
    <m/>
    <m/>
    <m/>
    <n v="0"/>
    <n v="0"/>
    <m/>
    <m/>
    <m/>
    <m/>
    <m/>
    <m/>
    <m/>
    <m/>
    <m/>
    <m/>
    <m/>
    <m/>
  </r>
  <r>
    <x v="8"/>
    <s v="Copiah-Lincoln Community College "/>
    <n v="175573"/>
    <x v="7"/>
    <n v="85905"/>
    <n v="91106"/>
    <n v="75307"/>
    <n v="77445"/>
    <m/>
    <m/>
    <n v="10598"/>
    <m/>
    <m/>
    <n v="13661"/>
    <m/>
    <m/>
    <m/>
    <m/>
    <n v="0"/>
    <n v="0"/>
    <m/>
    <m/>
    <m/>
    <m/>
    <m/>
    <m/>
    <m/>
    <m/>
    <m/>
    <m/>
    <m/>
    <m/>
  </r>
  <r>
    <x v="8"/>
    <s v="East Central Community College "/>
    <n v="175643"/>
    <x v="7"/>
    <n v="62475"/>
    <n v="68156"/>
    <n v="54907"/>
    <n v="59498"/>
    <m/>
    <m/>
    <n v="7568"/>
    <m/>
    <m/>
    <n v="8658"/>
    <m/>
    <m/>
    <m/>
    <m/>
    <n v="0"/>
    <n v="0"/>
    <m/>
    <m/>
    <m/>
    <m/>
    <m/>
    <m/>
    <m/>
    <m/>
    <m/>
    <m/>
    <m/>
    <m/>
  </r>
  <r>
    <x v="8"/>
    <s v="East Mississippi Community College "/>
    <n v="175652"/>
    <x v="7"/>
    <n v="102249"/>
    <n v="118056"/>
    <n v="78003"/>
    <n v="88797"/>
    <m/>
    <m/>
    <n v="24246"/>
    <m/>
    <m/>
    <n v="29259"/>
    <m/>
    <m/>
    <m/>
    <m/>
    <n v="0"/>
    <n v="0"/>
    <m/>
    <m/>
    <m/>
    <m/>
    <m/>
    <m/>
    <m/>
    <m/>
    <m/>
    <m/>
    <m/>
    <m/>
  </r>
  <r>
    <x v="8"/>
    <s v="Holmes Community College "/>
    <n v="175810"/>
    <x v="7"/>
    <n v="125571"/>
    <n v="141860"/>
    <n v="117606"/>
    <n v="129895"/>
    <m/>
    <m/>
    <n v="7965"/>
    <m/>
    <m/>
    <n v="11965"/>
    <m/>
    <m/>
    <m/>
    <m/>
    <n v="0"/>
    <n v="0"/>
    <m/>
    <m/>
    <m/>
    <m/>
    <m/>
    <m/>
    <m/>
    <m/>
    <m/>
    <m/>
    <m/>
    <m/>
  </r>
  <r>
    <x v="8"/>
    <s v="Itawamba Community College "/>
    <n v="175829"/>
    <x v="7"/>
    <n v="171344"/>
    <n v="195807"/>
    <n v="114483"/>
    <n v="131280"/>
    <m/>
    <m/>
    <n v="56861"/>
    <m/>
    <m/>
    <n v="64527"/>
    <m/>
    <m/>
    <m/>
    <m/>
    <n v="0"/>
    <n v="0"/>
    <m/>
    <m/>
    <m/>
    <m/>
    <m/>
    <m/>
    <m/>
    <m/>
    <m/>
    <m/>
    <m/>
    <m/>
  </r>
  <r>
    <x v="8"/>
    <s v="Jones County Junior College "/>
    <n v="175883"/>
    <x v="7"/>
    <n v="125912"/>
    <n v="134233"/>
    <n v="111698"/>
    <n v="117478"/>
    <m/>
    <m/>
    <n v="14214"/>
    <m/>
    <m/>
    <n v="16755"/>
    <m/>
    <m/>
    <m/>
    <m/>
    <n v="0"/>
    <n v="0"/>
    <m/>
    <m/>
    <m/>
    <m/>
    <m/>
    <m/>
    <m/>
    <m/>
    <m/>
    <m/>
    <m/>
    <m/>
  </r>
  <r>
    <x v="8"/>
    <s v="Meridian Community College "/>
    <n v="175935"/>
    <x v="7"/>
    <n v="88855"/>
    <n v="93664"/>
    <n v="78812"/>
    <n v="83609"/>
    <m/>
    <m/>
    <n v="10043"/>
    <m/>
    <m/>
    <n v="10055"/>
    <m/>
    <m/>
    <m/>
    <m/>
    <n v="0"/>
    <n v="0"/>
    <m/>
    <m/>
    <m/>
    <m/>
    <m/>
    <m/>
    <m/>
    <m/>
    <m/>
    <m/>
    <m/>
    <m/>
  </r>
  <r>
    <x v="8"/>
    <s v="Mississippi Delta Community College "/>
    <n v="176008"/>
    <x v="7"/>
    <n v="75373"/>
    <n v="83275"/>
    <n v="65602"/>
    <n v="72965"/>
    <m/>
    <m/>
    <n v="9771"/>
    <m/>
    <m/>
    <n v="10310"/>
    <m/>
    <m/>
    <m/>
    <m/>
    <n v="0"/>
    <n v="0"/>
    <m/>
    <m/>
    <m/>
    <m/>
    <m/>
    <m/>
    <m/>
    <m/>
    <m/>
    <m/>
    <m/>
    <m/>
  </r>
  <r>
    <x v="8"/>
    <s v="Northeast Mississippi Community College "/>
    <n v="176169"/>
    <x v="7"/>
    <n v="84118"/>
    <n v="90748"/>
    <n v="76114"/>
    <n v="81749"/>
    <m/>
    <m/>
    <n v="8004"/>
    <m/>
    <m/>
    <n v="8999"/>
    <m/>
    <m/>
    <m/>
    <m/>
    <n v="0"/>
    <n v="0"/>
    <m/>
    <m/>
    <m/>
    <m/>
    <m/>
    <m/>
    <m/>
    <m/>
    <m/>
    <m/>
    <m/>
    <m/>
  </r>
  <r>
    <x v="8"/>
    <s v="Pearl River Community College "/>
    <n v="176239"/>
    <x v="7"/>
    <n v="102366"/>
    <n v="114553"/>
    <n v="92751"/>
    <n v="102908"/>
    <m/>
    <m/>
    <n v="9615"/>
    <m/>
    <m/>
    <n v="11645"/>
    <m/>
    <m/>
    <m/>
    <m/>
    <n v="0"/>
    <n v="0"/>
    <m/>
    <m/>
    <m/>
    <m/>
    <m/>
    <m/>
    <m/>
    <m/>
    <m/>
    <m/>
    <m/>
    <m/>
  </r>
  <r>
    <x v="8"/>
    <s v="Coahoma Community College "/>
    <n v="175519"/>
    <x v="8"/>
    <n v="44376"/>
    <n v="54854"/>
    <n v="41043"/>
    <n v="51108"/>
    <m/>
    <m/>
    <n v="3333"/>
    <m/>
    <m/>
    <n v="3746"/>
    <m/>
    <m/>
    <m/>
    <m/>
    <n v="0"/>
    <n v="0"/>
    <m/>
    <m/>
    <m/>
    <m/>
    <m/>
    <m/>
    <m/>
    <m/>
    <m/>
    <m/>
    <m/>
    <m/>
  </r>
  <r>
    <x v="8"/>
    <s v="Southwest Mississippi Community College"/>
    <n v="176354"/>
    <x v="8"/>
    <n v="48922"/>
    <n v="53226"/>
    <n v="44458"/>
    <n v="48131"/>
    <m/>
    <m/>
    <n v="4464"/>
    <m/>
    <m/>
    <n v="5095"/>
    <m/>
    <m/>
    <m/>
    <m/>
    <n v="0"/>
    <n v="0"/>
    <m/>
    <m/>
    <m/>
    <m/>
    <m/>
    <m/>
    <m/>
    <m/>
    <m/>
    <m/>
    <m/>
    <m/>
  </r>
  <r>
    <x v="9"/>
    <s v="North Carolina State University "/>
    <n v="199193"/>
    <x v="0"/>
    <n v="696388"/>
    <n v="717672"/>
    <n v="648340"/>
    <n v="654799"/>
    <n v="3618"/>
    <n v="3672"/>
    <n v="33227"/>
    <n v="0"/>
    <n v="11203"/>
    <n v="49825"/>
    <s v="."/>
    <n v="9376"/>
    <m/>
    <m/>
    <n v="116247"/>
    <n v="124350"/>
    <n v="100229"/>
    <n v="105943"/>
    <n v="5868"/>
    <n v="5478"/>
    <n v="10020"/>
    <m/>
    <n v="130"/>
    <n v="12667"/>
    <n v="0"/>
    <n v="262"/>
    <m/>
    <m/>
  </r>
  <r>
    <x v="9"/>
    <s v="University of North Carolina at Chapel Hill "/>
    <n v="199120"/>
    <x v="0"/>
    <n v="494960"/>
    <n v="508040"/>
    <n v="481040"/>
    <n v="492488"/>
    <n v="869"/>
    <n v="579"/>
    <n v="12815"/>
    <n v="236"/>
    <m/>
    <n v="14956"/>
    <n v="17"/>
    <n v="0"/>
    <m/>
    <m/>
    <n v="187419"/>
    <n v="190801"/>
    <n v="156326"/>
    <n v="159915"/>
    <n v="17365"/>
    <n v="15610"/>
    <n v="12072"/>
    <n v="1656"/>
    <m/>
    <n v="13626"/>
    <n v="1650"/>
    <m/>
    <m/>
    <m/>
  </r>
  <r>
    <x v="9"/>
    <s v="University of North Carolina at Charlotte"/>
    <n v="199139"/>
    <x v="1"/>
    <n v="497893"/>
    <n v="515155"/>
    <n v="485499"/>
    <n v="498030"/>
    <n v="571"/>
    <n v="288"/>
    <n v="11763"/>
    <n v="60"/>
    <m/>
    <n v="16837"/>
    <n v="0"/>
    <n v="0"/>
    <m/>
    <m/>
    <n v="69510"/>
    <n v="72645"/>
    <n v="58695"/>
    <n v="58874"/>
    <n v="5627"/>
    <n v="4544"/>
    <n v="5155"/>
    <n v="33"/>
    <m/>
    <n v="9215"/>
    <n v="12"/>
    <m/>
    <m/>
    <m/>
  </r>
  <r>
    <x v="9"/>
    <s v="University of North Carolina at Greensboro"/>
    <n v="199148"/>
    <x v="1"/>
    <n v="393630"/>
    <n v="423138"/>
    <n v="346735"/>
    <n v="352269"/>
    <n v="13867"/>
    <n v="554"/>
    <n v="32920"/>
    <n v="108"/>
    <m/>
    <n v="70184"/>
    <n v="131"/>
    <n v="0"/>
    <m/>
    <m/>
    <n v="68241"/>
    <n v="69415"/>
    <n v="56405"/>
    <n v="55812"/>
    <n v="5266"/>
    <n v="2314"/>
    <n v="6399"/>
    <n v="171"/>
    <m/>
    <n v="11097"/>
    <n v="192"/>
    <m/>
    <m/>
    <m/>
  </r>
  <r>
    <x v="9"/>
    <s v="Appalachian State University "/>
    <n v="197869"/>
    <x v="2"/>
    <n v="432244"/>
    <n v="442948"/>
    <n v="421112"/>
    <n v="429250"/>
    <n v="9622"/>
    <n v="10448"/>
    <n v="1510"/>
    <n v="0"/>
    <m/>
    <n v="3217"/>
    <n v="33"/>
    <n v="0"/>
    <m/>
    <m/>
    <n v="36265"/>
    <n v="38023"/>
    <n v="21084"/>
    <n v="21459"/>
    <n v="13738"/>
    <n v="13793"/>
    <n v="1443"/>
    <m/>
    <m/>
    <n v="2771"/>
    <n v="0"/>
    <m/>
    <m/>
    <m/>
  </r>
  <r>
    <x v="9"/>
    <s v="East Carolina University "/>
    <n v="198464"/>
    <x v="2"/>
    <n v="568728"/>
    <n v="583534"/>
    <n v="494643"/>
    <n v="500495"/>
    <n v="11145"/>
    <n v="9108"/>
    <n v="62940"/>
    <n v="0"/>
    <m/>
    <n v="73931"/>
    <n v="0"/>
    <n v="0"/>
    <m/>
    <m/>
    <n v="97358"/>
    <n v="104929"/>
    <n v="45779"/>
    <n v="51900"/>
    <n v="8493"/>
    <n v="6483"/>
    <n v="43086"/>
    <m/>
    <m/>
    <n v="46540"/>
    <n v="6"/>
    <m/>
    <m/>
    <m/>
  </r>
  <r>
    <x v="9"/>
    <s v="North Carolina A&amp;T State University"/>
    <n v="199102"/>
    <x v="2"/>
    <n v="263262"/>
    <n v="260799"/>
    <n v="246137"/>
    <n v="243888"/>
    <n v="3331"/>
    <n v="2557"/>
    <n v="13794"/>
    <n v="0"/>
    <m/>
    <n v="14354"/>
    <n v="0"/>
    <n v="0"/>
    <m/>
    <m/>
    <n v="33336"/>
    <n v="34478"/>
    <n v="23243"/>
    <n v="26542"/>
    <n v="4861"/>
    <n v="1458"/>
    <n v="5232"/>
    <m/>
    <m/>
    <n v="6478"/>
    <n v="0"/>
    <m/>
    <m/>
    <m/>
  </r>
  <r>
    <x v="9"/>
    <s v="North Carolina Central University "/>
    <n v="199157"/>
    <x v="2"/>
    <n v="176650"/>
    <n v="183197"/>
    <n v="166366"/>
    <n v="173375"/>
    <n v="3339"/>
    <n v="491"/>
    <n v="6945"/>
    <n v="0"/>
    <m/>
    <n v="9331"/>
    <n v="0"/>
    <n v="0"/>
    <m/>
    <m/>
    <n v="41387"/>
    <n v="42311"/>
    <n v="33952"/>
    <n v="34925"/>
    <n v="2326"/>
    <n v="997"/>
    <n v="5100"/>
    <n v="9"/>
    <m/>
    <n v="6335"/>
    <n v="54"/>
    <m/>
    <m/>
    <m/>
  </r>
  <r>
    <x v="9"/>
    <s v="University of North Carolina at Wilmington"/>
    <n v="199218"/>
    <x v="2"/>
    <n v="326611"/>
    <n v="334636"/>
    <n v="292372"/>
    <n v="297323"/>
    <n v="2072"/>
    <n v="4859"/>
    <n v="32167"/>
    <n v="0"/>
    <m/>
    <n v="32454"/>
    <n v="0"/>
    <n v="0"/>
    <m/>
    <m/>
    <n v="20330"/>
    <n v="21463"/>
    <n v="14914"/>
    <n v="16676"/>
    <n v="555"/>
    <n v="1023"/>
    <n v="4861"/>
    <m/>
    <m/>
    <n v="3764"/>
    <n v="0"/>
    <m/>
    <m/>
    <m/>
  </r>
  <r>
    <x v="9"/>
    <s v="Western Carolina University "/>
    <n v="200004"/>
    <x v="2"/>
    <n v="199982"/>
    <n v="205371"/>
    <n v="176616"/>
    <n v="181847"/>
    <n v="7671"/>
    <n v="4968"/>
    <n v="15479"/>
    <n v="216"/>
    <m/>
    <n v="18463"/>
    <n v="93"/>
    <n v="0"/>
    <m/>
    <m/>
    <n v="31504"/>
    <n v="32753"/>
    <n v="11257"/>
    <n v="18092"/>
    <n v="7481"/>
    <n v="1267"/>
    <n v="12562"/>
    <n v="204"/>
    <m/>
    <n v="13211"/>
    <n v="183"/>
    <m/>
    <m/>
    <m/>
  </r>
  <r>
    <x v="9"/>
    <s v="Fayetteville State University "/>
    <n v="198543"/>
    <x v="3"/>
    <n v="167410"/>
    <n v="155114"/>
    <n v="139007"/>
    <n v="131700"/>
    <n v="11697"/>
    <n v="6417"/>
    <n v="16538"/>
    <n v="168"/>
    <m/>
    <n v="16997"/>
    <n v="0"/>
    <n v="0"/>
    <m/>
    <m/>
    <n v="11314"/>
    <n v="9056"/>
    <n v="7036"/>
    <n v="6299"/>
    <n v="2151"/>
    <n v="1533"/>
    <n v="2127"/>
    <m/>
    <m/>
    <n v="1224"/>
    <n v="0"/>
    <m/>
    <m/>
    <m/>
  </r>
  <r>
    <x v="9"/>
    <s v="University of North Carolina at Pembroke"/>
    <n v="199281"/>
    <x v="4"/>
    <n v="146932"/>
    <n v="157555"/>
    <n v="120014"/>
    <n v="126531"/>
    <n v="3232"/>
    <n v="3804"/>
    <n v="23527"/>
    <n v="159"/>
    <m/>
    <n v="26935"/>
    <n v="285"/>
    <n v="0"/>
    <m/>
    <m/>
    <n v="10095"/>
    <n v="10864"/>
    <n v="4857"/>
    <n v="5005"/>
    <n v="1172"/>
    <n v="1310"/>
    <n v="4066"/>
    <m/>
    <m/>
    <n v="4546"/>
    <n v="3"/>
    <m/>
    <m/>
    <m/>
  </r>
  <r>
    <x v="9"/>
    <s v="Winston-Salem State University "/>
    <n v="199999"/>
    <x v="4"/>
    <n v="167793"/>
    <n v="177169"/>
    <n v="145488"/>
    <n v="148912"/>
    <n v="10750"/>
    <n v="14240"/>
    <n v="11555"/>
    <n v="0"/>
    <m/>
    <n v="14017"/>
    <n v="0"/>
    <n v="0"/>
    <m/>
    <m/>
    <n v="9011"/>
    <n v="10195"/>
    <n v="7233"/>
    <n v="8564"/>
    <n v="552"/>
    <n v="543"/>
    <n v="873"/>
    <n v="353"/>
    <m/>
    <n v="803"/>
    <n v="285"/>
    <m/>
    <m/>
    <m/>
  </r>
  <r>
    <x v="9"/>
    <s v="Elizabeth City State University "/>
    <n v="198507"/>
    <x v="5"/>
    <n v="89121"/>
    <n v="95987"/>
    <n v="81574"/>
    <n v="82421"/>
    <n v="4347"/>
    <n v="335"/>
    <n v="3200"/>
    <n v="0"/>
    <m/>
    <n v="13073"/>
    <n v="158"/>
    <n v="0"/>
    <m/>
    <m/>
    <n v="881"/>
    <n v="951"/>
    <n v="647"/>
    <n v="684"/>
    <n v="0"/>
    <n v="0"/>
    <n v="234"/>
    <m/>
    <m/>
    <n v="267"/>
    <n v="0"/>
    <m/>
    <m/>
    <m/>
  </r>
  <r>
    <x v="9"/>
    <s v="University of North Carolina at Asheville"/>
    <n v="199111"/>
    <x v="5"/>
    <n v="93021"/>
    <n v="97950"/>
    <n v="91545"/>
    <n v="96282"/>
    <n v="1366"/>
    <n v="1668"/>
    <n v="0"/>
    <n v="110"/>
    <m/>
    <n v="0"/>
    <n v="0"/>
    <n v="0"/>
    <m/>
    <m/>
    <n v="290"/>
    <n v="415"/>
    <n v="290"/>
    <n v="388"/>
    <n v="0"/>
    <n v="27"/>
    <n v="0"/>
    <m/>
    <m/>
    <n v="0"/>
    <n v="0"/>
    <m/>
    <m/>
    <m/>
  </r>
  <r>
    <x v="9"/>
    <s v="Asheville-Buncombe Technical Community College"/>
    <n v="197887"/>
    <x v="6"/>
    <n v="207780"/>
    <n v="222539.99999999997"/>
    <n v="151408.20000000001"/>
    <n v="143337.29999999999"/>
    <n v="27456.300000000003"/>
    <n v="28041.300000000003"/>
    <n v="16544.400000000001"/>
    <n v="163.20000000000002"/>
    <n v="12207.9"/>
    <n v="22465.8"/>
    <n v="0"/>
    <n v="28695.599999999999"/>
    <m/>
    <m/>
    <n v="0"/>
    <n v="0"/>
    <m/>
    <m/>
    <m/>
    <m/>
    <m/>
    <m/>
    <m/>
    <m/>
    <m/>
    <m/>
    <m/>
    <m/>
  </r>
  <r>
    <x v="9"/>
    <s v="Cape Fear Community College"/>
    <n v="198154"/>
    <x v="6"/>
    <n v="245160.00000000003"/>
    <n v="278280"/>
    <n v="191159.1"/>
    <n v="210253.5"/>
    <n v="23803.800000000003"/>
    <n v="22129.80000000001"/>
    <n v="20349.599999999999"/>
    <n v="0"/>
    <n v="9847.5"/>
    <n v="31030.200000000004"/>
    <n v="0"/>
    <n v="14866.499999999998"/>
    <m/>
    <m/>
    <n v="0"/>
    <n v="0"/>
    <m/>
    <m/>
    <m/>
    <m/>
    <m/>
    <m/>
    <m/>
    <m/>
    <m/>
    <m/>
    <m/>
    <m/>
  </r>
  <r>
    <x v="9"/>
    <s v="Catawba Valley Community College"/>
    <n v="198233"/>
    <x v="6"/>
    <n v="160080.00000000003"/>
    <n v="174630"/>
    <n v="105951.6"/>
    <n v="110181.9"/>
    <n v="18716.099999999999"/>
    <n v="20284.199999999983"/>
    <n v="20279.399999999998"/>
    <n v="2080.2000000000003"/>
    <n v="13052.699999999999"/>
    <n v="24716.700000000004"/>
    <n v="1094.0999999999999"/>
    <n v="18353.099999999999"/>
    <m/>
    <m/>
    <n v="0"/>
    <n v="0"/>
    <m/>
    <m/>
    <m/>
    <m/>
    <m/>
    <m/>
    <m/>
    <m/>
    <m/>
    <m/>
    <m/>
    <m/>
  </r>
  <r>
    <x v="9"/>
    <s v="Central Carolina Commuity College"/>
    <n v="198251"/>
    <x v="6"/>
    <n v="169530"/>
    <n v="187740"/>
    <n v="90788.400000000009"/>
    <n v="98290.200000000012"/>
    <n v="50486.1"/>
    <n v="52277.999999999978"/>
    <n v="23311.800000000003"/>
    <n v="0"/>
    <n v="4943.7"/>
    <n v="28512.300000000003"/>
    <n v="0"/>
    <n v="8659.5"/>
    <m/>
    <m/>
    <n v="0"/>
    <n v="0"/>
    <m/>
    <m/>
    <m/>
    <m/>
    <m/>
    <m/>
    <m/>
    <m/>
    <m/>
    <m/>
    <m/>
    <m/>
  </r>
  <r>
    <x v="9"/>
    <s v="Central Piedmont Community College "/>
    <n v="198260"/>
    <x v="6"/>
    <n v="488160"/>
    <n v="536790"/>
    <n v="366082.8"/>
    <n v="393686.4"/>
    <n v="27890.400000000001"/>
    <n v="28604.7"/>
    <n v="70773"/>
    <n v="0"/>
    <n v="23413.800000000003"/>
    <n v="86409.3"/>
    <n v="0"/>
    <n v="28089.600000000002"/>
    <m/>
    <m/>
    <n v="0"/>
    <n v="0"/>
    <m/>
    <m/>
    <m/>
    <m/>
    <m/>
    <m/>
    <m/>
    <m/>
    <m/>
    <m/>
    <m/>
    <m/>
  </r>
  <r>
    <x v="9"/>
    <s v="Durham Technical Community College"/>
    <n v="198455"/>
    <x v="6"/>
    <n v="154560"/>
    <n v="165180"/>
    <n v="106779.6"/>
    <n v="117042.9"/>
    <n v="27385.8"/>
    <n v="24100.200000000019"/>
    <n v="14270.099999999999"/>
    <n v="0"/>
    <n v="6124.5"/>
    <n v="16257.900000000001"/>
    <n v="0"/>
    <n v="7779"/>
    <m/>
    <m/>
    <n v="0"/>
    <n v="0"/>
    <m/>
    <m/>
    <m/>
    <m/>
    <m/>
    <m/>
    <m/>
    <m/>
    <m/>
    <m/>
    <m/>
    <m/>
  </r>
  <r>
    <x v="9"/>
    <s v="Fayetteville Technical Community College"/>
    <n v="198534"/>
    <x v="6"/>
    <n v="350580"/>
    <n v="379620"/>
    <n v="223904.7"/>
    <n v="233729.1"/>
    <n v="46133.7"/>
    <n v="40180.499999999971"/>
    <n v="77834.100000000006"/>
    <n v="914.09999999999991"/>
    <n v="1793.4"/>
    <n v="101107.79999999999"/>
    <n v="1213.1999999999998"/>
    <n v="3389.3999999999996"/>
    <m/>
    <m/>
    <n v="0"/>
    <n v="0"/>
    <m/>
    <m/>
    <m/>
    <m/>
    <m/>
    <m/>
    <m/>
    <m/>
    <m/>
    <m/>
    <m/>
    <m/>
  </r>
  <r>
    <x v="9"/>
    <s v="Forsyth Technical Community College"/>
    <n v="198552"/>
    <x v="6"/>
    <n v="239159.99999999994"/>
    <n v="274800"/>
    <n v="148452.29999999999"/>
    <n v="165032.09999999998"/>
    <n v="40991.4"/>
    <n v="44436.300000000025"/>
    <n v="36592.199999999997"/>
    <n v="874.8"/>
    <n v="12249.3"/>
    <n v="47695.5"/>
    <n v="979.8"/>
    <n v="16656.3"/>
    <m/>
    <m/>
    <n v="0"/>
    <n v="0"/>
    <m/>
    <m/>
    <m/>
    <m/>
    <m/>
    <m/>
    <m/>
    <m/>
    <m/>
    <m/>
    <m/>
    <m/>
  </r>
  <r>
    <x v="9"/>
    <s v="Guilford Technical Community College"/>
    <n v="198622"/>
    <x v="6"/>
    <n v="337229.99999999994"/>
    <n v="398550"/>
    <n v="282759.3"/>
    <n v="309532.5"/>
    <n v="24270.6"/>
    <n v="22544.69999999999"/>
    <n v="26346.600000000002"/>
    <n v="0"/>
    <n v="3853.4999999999995"/>
    <n v="38887.199999999997"/>
    <n v="0"/>
    <n v="27585.600000000002"/>
    <m/>
    <m/>
    <n v="0"/>
    <n v="0"/>
    <m/>
    <m/>
    <m/>
    <m/>
    <m/>
    <m/>
    <m/>
    <m/>
    <m/>
    <m/>
    <m/>
    <m/>
  </r>
  <r>
    <x v="9"/>
    <s v="Pitt Community College"/>
    <n v="199333"/>
    <x v="6"/>
    <n v="206550"/>
    <n v="231450"/>
    <n v="133206.90000000002"/>
    <n v="148333.19999999998"/>
    <n v="32379.899999999998"/>
    <n v="31887.300000000017"/>
    <n v="28432.799999999999"/>
    <n v="0"/>
    <n v="12530.4"/>
    <n v="34491.9"/>
    <n v="0"/>
    <n v="16737.600000000002"/>
    <m/>
    <m/>
    <n v="0"/>
    <n v="0"/>
    <m/>
    <m/>
    <m/>
    <m/>
    <m/>
    <m/>
    <m/>
    <m/>
    <m/>
    <m/>
    <m/>
    <m/>
  </r>
  <r>
    <x v="9"/>
    <s v="Rowan-Cabarrus Community College"/>
    <n v="199494"/>
    <x v="6"/>
    <n v="174480.00000000003"/>
    <n v="220140"/>
    <n v="130466.1"/>
    <n v="161240.1"/>
    <n v="21927.600000000002"/>
    <n v="22169.699999999993"/>
    <n v="11906.699999999999"/>
    <n v="748.2"/>
    <n v="9431.4"/>
    <n v="24783.3"/>
    <n v="1175.6999999999998"/>
    <n v="10771.2"/>
    <m/>
    <m/>
    <n v="0"/>
    <n v="0"/>
    <m/>
    <m/>
    <m/>
    <m/>
    <m/>
    <m/>
    <m/>
    <m/>
    <m/>
    <m/>
    <m/>
    <m/>
  </r>
  <r>
    <x v="9"/>
    <s v="Wake Technical Community College"/>
    <n v="199856"/>
    <x v="6"/>
    <n v="429390.00000000006"/>
    <n v="460980"/>
    <n v="279222.30000000005"/>
    <n v="302148.89999999997"/>
    <n v="76024.799999999988"/>
    <n v="69326.100000000064"/>
    <n v="56104.799999999996"/>
    <n v="86.399999999999991"/>
    <n v="17951.7"/>
    <n v="68333.999999999985"/>
    <n v="0"/>
    <n v="21171"/>
    <m/>
    <m/>
    <n v="0"/>
    <n v="0"/>
    <m/>
    <m/>
    <m/>
    <m/>
    <m/>
    <m/>
    <m/>
    <m/>
    <m/>
    <m/>
    <m/>
    <m/>
  </r>
  <r>
    <x v="9"/>
    <s v="Alamance Community College"/>
    <n v="199786"/>
    <x v="7"/>
    <n v="134250"/>
    <n v="157050"/>
    <n v="105939.9"/>
    <n v="124731.3"/>
    <n v="13856.699999999999"/>
    <n v="13959.299999999994"/>
    <n v="10999.8"/>
    <n v="0"/>
    <n v="3453.6000000000004"/>
    <n v="12895.499999999998"/>
    <n v="0"/>
    <n v="5463.8999999999987"/>
    <m/>
    <m/>
    <n v="0"/>
    <n v="0"/>
    <m/>
    <m/>
    <m/>
    <m/>
    <m/>
    <m/>
    <m/>
    <m/>
    <m/>
    <m/>
    <m/>
    <m/>
  </r>
  <r>
    <x v="9"/>
    <s v="Blue Ridge Community College"/>
    <n v="198039"/>
    <x v="7"/>
    <n v="69180"/>
    <n v="82140"/>
    <n v="44614.799999999996"/>
    <n v="53272.5"/>
    <n v="11631.900000000001"/>
    <n v="10423.499999999993"/>
    <n v="6252.9000000000005"/>
    <n v="1070.6999999999998"/>
    <n v="5609.7000000000007"/>
    <n v="8191.5"/>
    <n v="577.5"/>
    <n v="9675"/>
    <m/>
    <m/>
    <n v="0"/>
    <n v="0"/>
    <m/>
    <m/>
    <m/>
    <m/>
    <m/>
    <m/>
    <m/>
    <m/>
    <m/>
    <m/>
    <m/>
    <m/>
  </r>
  <r>
    <x v="9"/>
    <s v="Caldwell Community College &amp; Technical Institute"/>
    <n v="198118"/>
    <x v="7"/>
    <n v="133349.99999999997"/>
    <n v="153269.99999999997"/>
    <n v="84826.799999999988"/>
    <n v="96079.200000000012"/>
    <n v="23864.7"/>
    <n v="24564.299999999988"/>
    <n v="9598.7999999999993"/>
    <n v="918.9"/>
    <n v="14140.800000000001"/>
    <n v="12480.3"/>
    <n v="2081.3999999999996"/>
    <n v="18064.8"/>
    <m/>
    <m/>
    <n v="0"/>
    <n v="0"/>
    <m/>
    <m/>
    <m/>
    <m/>
    <m/>
    <m/>
    <m/>
    <m/>
    <m/>
    <m/>
    <m/>
    <m/>
  </r>
  <r>
    <x v="9"/>
    <s v="Cleveland Community College"/>
    <n v="198321"/>
    <x v="7"/>
    <n v="98789.999999999985"/>
    <n v="119850.00000000001"/>
    <n v="57090"/>
    <n v="70174.799999999988"/>
    <n v="16536.900000000001"/>
    <n v="20525.700000000012"/>
    <n v="14378.7"/>
    <n v="123.89999999999999"/>
    <n v="10660.5"/>
    <n v="19925.099999999999"/>
    <n v="196.79999999999998"/>
    <n v="9027.6"/>
    <m/>
    <m/>
    <n v="0"/>
    <n v="0"/>
    <m/>
    <m/>
    <m/>
    <m/>
    <m/>
    <m/>
    <m/>
    <m/>
    <m/>
    <m/>
    <m/>
    <m/>
  </r>
  <r>
    <x v="9"/>
    <s v="Coastal Carolina Community College "/>
    <n v="198330"/>
    <x v="7"/>
    <n v="152520"/>
    <n v="162030"/>
    <n v="105567"/>
    <n v="115425.60000000001"/>
    <n v="26781"/>
    <n v="22747.200000000012"/>
    <n v="19637.100000000002"/>
    <n v="0"/>
    <n v="534.9"/>
    <n v="22956.899999999998"/>
    <n v="0"/>
    <n v="900.3"/>
    <m/>
    <m/>
    <n v="0"/>
    <n v="0"/>
    <m/>
    <m/>
    <m/>
    <m/>
    <m/>
    <m/>
    <m/>
    <m/>
    <m/>
    <m/>
    <m/>
    <m/>
  </r>
  <r>
    <x v="9"/>
    <s v="College of the Albemarle"/>
    <n v="197814"/>
    <x v="7"/>
    <n v="75690.000000000015"/>
    <n v="80430"/>
    <n v="44077.5"/>
    <n v="47543.7"/>
    <n v="9507"/>
    <n v="8361.9"/>
    <n v="12716.1"/>
    <n v="614.09999999999991"/>
    <n v="8775.2999999999993"/>
    <n v="15553.800000000001"/>
    <n v="597.29999999999995"/>
    <n v="8373.3000000000011"/>
    <m/>
    <m/>
    <n v="0"/>
    <n v="0"/>
    <m/>
    <m/>
    <m/>
    <m/>
    <m/>
    <m/>
    <m/>
    <m/>
    <m/>
    <m/>
    <m/>
    <m/>
  </r>
  <r>
    <x v="9"/>
    <s v="Craven Community College "/>
    <n v="198367"/>
    <x v="7"/>
    <n v="91920"/>
    <n v="103980.00000000001"/>
    <n v="48567.3"/>
    <n v="54714.299999999996"/>
    <n v="7507.5"/>
    <n v="7476.3000000000084"/>
    <n v="21320.399999999998"/>
    <n v="0"/>
    <n v="14524.8"/>
    <n v="24027.599999999999"/>
    <n v="0"/>
    <n v="17761.800000000003"/>
    <m/>
    <m/>
    <n v="0"/>
    <n v="0"/>
    <m/>
    <m/>
    <m/>
    <m/>
    <m/>
    <m/>
    <m/>
    <m/>
    <m/>
    <m/>
    <m/>
    <m/>
  </r>
  <r>
    <x v="9"/>
    <s v="Davidson County Community College "/>
    <n v="198376"/>
    <x v="7"/>
    <n v="125099.99999999999"/>
    <n v="143130"/>
    <n v="77075.7"/>
    <n v="83777.700000000012"/>
    <n v="9391.7999999999993"/>
    <n v="8167.5"/>
    <n v="18342.900000000001"/>
    <n v="1793.4"/>
    <n v="18496.199999999997"/>
    <n v="22793.399999999998"/>
    <n v="1774.8"/>
    <n v="26616.600000000002"/>
    <m/>
    <m/>
    <n v="0"/>
    <n v="0"/>
    <m/>
    <m/>
    <m/>
    <m/>
    <m/>
    <m/>
    <m/>
    <m/>
    <m/>
    <m/>
    <m/>
    <m/>
  </r>
  <r>
    <x v="9"/>
    <s v="Edgecombe Community College"/>
    <n v="198491"/>
    <x v="7"/>
    <n v="75840.000000000015"/>
    <n v="92670.000000000015"/>
    <n v="44573.100000000006"/>
    <n v="53306.400000000001"/>
    <n v="16963.5"/>
    <n v="14189.400000000009"/>
    <n v="10730.1"/>
    <n v="42.3"/>
    <n v="3531"/>
    <n v="17079.899999999998"/>
    <n v="104.10000000000001"/>
    <n v="7990.1999999999989"/>
    <m/>
    <m/>
    <n v="0"/>
    <n v="0"/>
    <m/>
    <m/>
    <m/>
    <m/>
    <m/>
    <m/>
    <m/>
    <m/>
    <m/>
    <m/>
    <m/>
    <m/>
  </r>
  <r>
    <x v="9"/>
    <s v="Gaston College "/>
    <n v="198570"/>
    <x v="7"/>
    <n v="157349.99999999997"/>
    <n v="198179.99999999997"/>
    <n v="108637.2"/>
    <n v="131346.59999999998"/>
    <n v="18070.499999999996"/>
    <n v="20766.89999999998"/>
    <n v="21839.100000000002"/>
    <n v="345.9"/>
    <n v="8457.2999999999993"/>
    <n v="32726.100000000002"/>
    <n v="955.2"/>
    <n v="12385.199999999999"/>
    <m/>
    <m/>
    <n v="0"/>
    <n v="0"/>
    <m/>
    <m/>
    <m/>
    <m/>
    <m/>
    <m/>
    <m/>
    <m/>
    <m/>
    <m/>
    <m/>
    <m/>
  </r>
  <r>
    <x v="9"/>
    <s v="Haywood Community College"/>
    <n v="198668"/>
    <x v="7"/>
    <n v="61020"/>
    <n v="68580"/>
    <n v="38961"/>
    <n v="41829"/>
    <n v="8395.5"/>
    <n v="9189.5999999999985"/>
    <n v="11055.900000000001"/>
    <n v="0"/>
    <n v="2607.6"/>
    <n v="14449.500000000002"/>
    <n v="270"/>
    <n v="2841.9"/>
    <m/>
    <m/>
    <n v="0"/>
    <n v="0"/>
    <m/>
    <m/>
    <m/>
    <m/>
    <m/>
    <m/>
    <m/>
    <m/>
    <m/>
    <m/>
    <m/>
    <m/>
  </r>
  <r>
    <x v="9"/>
    <s v="Isothermal Community College "/>
    <n v="198710"/>
    <x v="7"/>
    <n v="72240"/>
    <n v="89970"/>
    <n v="55169.7"/>
    <n v="67413.599999999991"/>
    <n v="8892"/>
    <n v="7554.0000000000182"/>
    <n v="5552.7"/>
    <n v="0"/>
    <n v="2625.6"/>
    <n v="8459.7000000000007"/>
    <n v="0"/>
    <n v="6542.7"/>
    <m/>
    <m/>
    <n v="0"/>
    <n v="0"/>
    <m/>
    <m/>
    <m/>
    <m/>
    <m/>
    <m/>
    <m/>
    <m/>
    <m/>
    <m/>
    <m/>
    <m/>
  </r>
  <r>
    <x v="9"/>
    <s v="Johnston Community College"/>
    <n v="198774"/>
    <x v="7"/>
    <n v="135630"/>
    <n v="146640"/>
    <n v="70929"/>
    <n v="88847.1"/>
    <n v="37834.5"/>
    <n v="32481.600000000006"/>
    <n v="19090.500000000004"/>
    <n v="0"/>
    <n v="7776"/>
    <n v="23032.799999999999"/>
    <n v="0"/>
    <n v="2278.4999999999995"/>
    <m/>
    <m/>
    <n v="0"/>
    <n v="0"/>
    <m/>
    <m/>
    <m/>
    <m/>
    <m/>
    <m/>
    <m/>
    <m/>
    <m/>
    <m/>
    <m/>
    <m/>
  </r>
  <r>
    <x v="9"/>
    <s v="Lenoir Community College "/>
    <n v="198817"/>
    <x v="7"/>
    <n v="115920"/>
    <n v="132660"/>
    <n v="69611.100000000006"/>
    <n v="73502.399999999994"/>
    <n v="18880.499999999996"/>
    <n v="22537.800000000007"/>
    <n v="22209.9"/>
    <n v="0"/>
    <n v="5218.5"/>
    <n v="25836.600000000002"/>
    <n v="0"/>
    <n v="10783.2"/>
    <m/>
    <m/>
    <n v="0"/>
    <n v="0"/>
    <m/>
    <m/>
    <m/>
    <m/>
    <m/>
    <m/>
    <m/>
    <m/>
    <m/>
    <m/>
    <m/>
    <m/>
  </r>
  <r>
    <x v="9"/>
    <s v="Mayland Community College"/>
    <n v="198914"/>
    <x v="7"/>
    <n v="61260"/>
    <n v="65490.000000000007"/>
    <n v="25969.199999999997"/>
    <n v="29704.5"/>
    <n v="31752.000000000004"/>
    <n v="31681.8"/>
    <n v="2578.7999999999997"/>
    <n v="281.40000000000003"/>
    <n v="678.6"/>
    <n v="3339.2999999999997"/>
    <n v="59.1"/>
    <n v="705.30000000000007"/>
    <m/>
    <m/>
    <n v="0"/>
    <n v="0"/>
    <m/>
    <m/>
    <m/>
    <m/>
    <m/>
    <m/>
    <m/>
    <m/>
    <m/>
    <m/>
    <m/>
    <m/>
  </r>
  <r>
    <x v="9"/>
    <s v="Mitchell Community College "/>
    <n v="198987"/>
    <x v="7"/>
    <n v="83040"/>
    <n v="98400"/>
    <n v="64608.6"/>
    <n v="69955.200000000012"/>
    <n v="8151.6"/>
    <n v="9093.8999999999796"/>
    <n v="6463.8"/>
    <n v="0.89999999999999991"/>
    <n v="3815.1"/>
    <n v="8895.6"/>
    <n v="5.1000000000000005"/>
    <n v="10450.199999999999"/>
    <m/>
    <m/>
    <n v="0"/>
    <n v="0"/>
    <m/>
    <m/>
    <m/>
    <m/>
    <m/>
    <m/>
    <m/>
    <m/>
    <m/>
    <m/>
    <m/>
    <m/>
  </r>
  <r>
    <x v="9"/>
    <s v="Nash Community College"/>
    <n v="199087"/>
    <x v="7"/>
    <n v="83100"/>
    <n v="89490"/>
    <n v="63113.4"/>
    <n v="67824.899999999994"/>
    <n v="11111.1"/>
    <n v="10113.300000000021"/>
    <n v="7712.6999999999989"/>
    <n v="0"/>
    <n v="1162.8"/>
    <n v="9006.9"/>
    <n v="0"/>
    <n v="2544.9"/>
    <m/>
    <m/>
    <n v="0"/>
    <n v="0"/>
    <m/>
    <m/>
    <m/>
    <m/>
    <m/>
    <m/>
    <m/>
    <m/>
    <m/>
    <m/>
    <m/>
    <m/>
  </r>
  <r>
    <x v="9"/>
    <s v="Piedmont Community College"/>
    <n v="199324"/>
    <x v="7"/>
    <n v="86640"/>
    <n v="94019.999999999985"/>
    <n v="48486.9"/>
    <n v="50534.400000000001"/>
    <n v="21086.400000000001"/>
    <n v="20986.499999999996"/>
    <n v="11267.4"/>
    <n v="1412.7"/>
    <n v="4386.6000000000004"/>
    <n v="15344.400000000001"/>
    <n v="2077.5"/>
    <n v="5077.2000000000007"/>
    <m/>
    <m/>
    <n v="0"/>
    <n v="0"/>
    <m/>
    <m/>
    <m/>
    <m/>
    <m/>
    <m/>
    <m/>
    <m/>
    <m/>
    <m/>
    <m/>
    <m/>
  </r>
  <r>
    <x v="9"/>
    <s v="Randolph Community College"/>
    <n v="199421"/>
    <x v="7"/>
    <n v="83879.999999999985"/>
    <n v="93209.999999999985"/>
    <n v="59469.899999999994"/>
    <n v="66313.500000000015"/>
    <n v="9614.1"/>
    <n v="9538.1999999999753"/>
    <n v="12746.4"/>
    <n v="120.9"/>
    <n v="1928.6999999999998"/>
    <n v="13396.499999999998"/>
    <n v="1765.8"/>
    <n v="2196"/>
    <m/>
    <m/>
    <n v="0"/>
    <n v="0"/>
    <m/>
    <m/>
    <m/>
    <m/>
    <m/>
    <m/>
    <m/>
    <m/>
    <m/>
    <m/>
    <m/>
    <m/>
  </r>
  <r>
    <x v="9"/>
    <s v="Richmond Community College"/>
    <n v="199449"/>
    <x v="7"/>
    <n v="67950"/>
    <n v="73440"/>
    <n v="43797"/>
    <n v="47811.3"/>
    <n v="16863.599999999999"/>
    <n v="16313.099999999991"/>
    <n v="5236.2"/>
    <n v="0"/>
    <n v="2053.1999999999998"/>
    <n v="5983.8"/>
    <n v="22.5"/>
    <n v="3309.3"/>
    <m/>
    <m/>
    <n v="0"/>
    <n v="0"/>
    <m/>
    <m/>
    <m/>
    <m/>
    <m/>
    <m/>
    <m/>
    <m/>
    <m/>
    <m/>
    <m/>
    <m/>
  </r>
  <r>
    <x v="9"/>
    <s v="Robeson Community College"/>
    <n v="199476"/>
    <x v="7"/>
    <n v="116520.00000000001"/>
    <n v="126000"/>
    <n v="76031.100000000006"/>
    <n v="84657.299999999988"/>
    <n v="30546.600000000002"/>
    <n v="29401.200000000004"/>
    <n v="9353.0999999999985"/>
    <n v="47.7"/>
    <n v="541.5"/>
    <n v="10763.999999999998"/>
    <n v="67.5"/>
    <n v="1110"/>
    <m/>
    <m/>
    <n v="0"/>
    <n v="0"/>
    <m/>
    <m/>
    <m/>
    <m/>
    <m/>
    <m/>
    <m/>
    <m/>
    <m/>
    <m/>
    <m/>
    <m/>
  </r>
  <r>
    <x v="9"/>
    <s v="Rockingham Community College "/>
    <n v="199485"/>
    <x v="7"/>
    <n v="67170"/>
    <n v="77610"/>
    <n v="51956.7"/>
    <n v="61747.799999999996"/>
    <n v="7506"/>
    <n v="7408.8000000000102"/>
    <n v="4432.7999999999993"/>
    <n v="36.6"/>
    <n v="3237.9"/>
    <n v="4652.7"/>
    <n v="5.7"/>
    <n v="3795"/>
    <m/>
    <m/>
    <n v="0"/>
    <n v="0"/>
    <m/>
    <m/>
    <m/>
    <m/>
    <m/>
    <m/>
    <m/>
    <m/>
    <m/>
    <m/>
    <m/>
    <m/>
  </r>
  <r>
    <x v="9"/>
    <s v="Sandhills Community College "/>
    <n v="199634"/>
    <x v="7"/>
    <n v="125040"/>
    <n v="137670"/>
    <n v="86152.2"/>
    <n v="93072"/>
    <n v="17406.300000000003"/>
    <n v="15164.399999999998"/>
    <n v="14731.5"/>
    <n v="0"/>
    <n v="6750"/>
    <n v="18630.3"/>
    <n v="0"/>
    <n v="10803.3"/>
    <m/>
    <m/>
    <n v="0"/>
    <n v="0"/>
    <m/>
    <m/>
    <m/>
    <m/>
    <m/>
    <m/>
    <m/>
    <m/>
    <m/>
    <m/>
    <m/>
    <m/>
  </r>
  <r>
    <x v="9"/>
    <s v="South Piedmont Community College"/>
    <n v="197850"/>
    <x v="7"/>
    <n v="76950"/>
    <n v="87510"/>
    <n v="41981.700000000004"/>
    <n v="54555.3"/>
    <n v="18364.2"/>
    <n v="8085.3000000000029"/>
    <n v="13867.199999999999"/>
    <n v="692.7"/>
    <n v="2044.2"/>
    <n v="19839.000000000004"/>
    <n v="963.90000000000009"/>
    <n v="4066.5000000000005"/>
    <m/>
    <m/>
    <n v="0"/>
    <n v="0"/>
    <m/>
    <m/>
    <m/>
    <m/>
    <m/>
    <m/>
    <m/>
    <m/>
    <m/>
    <m/>
    <m/>
    <m/>
  </r>
  <r>
    <x v="9"/>
    <s v="Southeastern Community College "/>
    <n v="199722"/>
    <x v="7"/>
    <n v="80280"/>
    <n v="93479.999999999985"/>
    <n v="51290.1"/>
    <n v="43820.100000000006"/>
    <n v="16623"/>
    <n v="32278.199999999986"/>
    <n v="12196.2"/>
    <n v="75"/>
    <n v="95.7"/>
    <n v="16949.400000000001"/>
    <n v="157.5"/>
    <n v="274.8"/>
    <m/>
    <m/>
    <n v="0"/>
    <n v="0"/>
    <m/>
    <m/>
    <m/>
    <m/>
    <m/>
    <m/>
    <m/>
    <m/>
    <m/>
    <m/>
    <m/>
    <m/>
  </r>
  <r>
    <x v="9"/>
    <s v="Southwestern Community College "/>
    <n v="199731"/>
    <x v="7"/>
    <n v="77610"/>
    <n v="84690"/>
    <n v="41259.599999999999"/>
    <n v="40316.700000000004"/>
    <n v="19840.5"/>
    <n v="20362.199999999997"/>
    <n v="9560.1"/>
    <n v="2070"/>
    <n v="4879.8"/>
    <n v="12813"/>
    <n v="2019.3000000000002"/>
    <n v="9178.7999999999993"/>
    <m/>
    <m/>
    <n v="0"/>
    <n v="0"/>
    <m/>
    <m/>
    <m/>
    <m/>
    <m/>
    <m/>
    <m/>
    <m/>
    <m/>
    <m/>
    <m/>
    <m/>
  </r>
  <r>
    <x v="9"/>
    <s v="Stanly Community College"/>
    <n v="199740"/>
    <x v="7"/>
    <n v="84329.999999999985"/>
    <n v="96239.999999999985"/>
    <n v="34632.600000000006"/>
    <n v="41668.499999999993"/>
    <n v="12827.699999999999"/>
    <n v="11688.600000000002"/>
    <n v="24630.6"/>
    <n v="4391.3999999999996"/>
    <n v="7847.6999999999989"/>
    <n v="30953.1"/>
    <n v="3169.7999999999997"/>
    <n v="8760"/>
    <m/>
    <m/>
    <n v="0"/>
    <n v="0"/>
    <m/>
    <m/>
    <m/>
    <m/>
    <m/>
    <m/>
    <m/>
    <m/>
    <m/>
    <m/>
    <m/>
    <m/>
  </r>
  <r>
    <x v="9"/>
    <s v="Surry Community College "/>
    <n v="199768"/>
    <x v="7"/>
    <n v="111750.00000000001"/>
    <n v="116820.00000000001"/>
    <n v="84185.700000000012"/>
    <n v="85400.1"/>
    <n v="10252.799999999999"/>
    <n v="9565.4999999999964"/>
    <n v="13817.999999999998"/>
    <n v="902.7"/>
    <n v="2590.8000000000002"/>
    <n v="16673.099999999999"/>
    <n v="876.59999999999991"/>
    <n v="4304.7000000000007"/>
    <m/>
    <m/>
    <n v="0"/>
    <n v="0"/>
    <m/>
    <m/>
    <m/>
    <m/>
    <m/>
    <m/>
    <m/>
    <m/>
    <m/>
    <m/>
    <m/>
    <m/>
  </r>
  <r>
    <x v="9"/>
    <s v="Vance-Granville Community College "/>
    <n v="199838"/>
    <x v="7"/>
    <n v="142620"/>
    <n v="149400"/>
    <n v="88399.8"/>
    <n v="93003.3"/>
    <n v="29888.1"/>
    <n v="28443.300000000017"/>
    <n v="19469.099999999999"/>
    <n v="965.69999999999993"/>
    <n v="3897.2999999999997"/>
    <n v="23169.3"/>
    <n v="1227.3000000000002"/>
    <n v="3556.8"/>
    <m/>
    <m/>
    <n v="0"/>
    <n v="0"/>
    <m/>
    <m/>
    <m/>
    <m/>
    <m/>
    <m/>
    <m/>
    <m/>
    <m/>
    <m/>
    <m/>
    <m/>
  </r>
  <r>
    <x v="9"/>
    <s v="Wayne Community College"/>
    <n v="199892"/>
    <x v="7"/>
    <n v="118650"/>
    <n v="122760"/>
    <n v="68060.399999999994"/>
    <n v="66300"/>
    <n v="23259.600000000002"/>
    <n v="23393.100000000013"/>
    <n v="17809.2"/>
    <n v="0"/>
    <n v="9520.8000000000011"/>
    <n v="19685.399999999998"/>
    <n v="0"/>
    <n v="13381.499999999998"/>
    <m/>
    <m/>
    <n v="0"/>
    <n v="0"/>
    <m/>
    <m/>
    <m/>
    <m/>
    <m/>
    <m/>
    <m/>
    <m/>
    <m/>
    <m/>
    <m/>
    <m/>
  </r>
  <r>
    <x v="9"/>
    <s v="Western Piedmont Community College "/>
    <n v="199908"/>
    <x v="7"/>
    <n v="105330"/>
    <n v="119519.99999999999"/>
    <n v="65201.1"/>
    <n v="73890"/>
    <n v="19563.900000000001"/>
    <n v="19726.19999999999"/>
    <n v="13385.399999999998"/>
    <n v="0"/>
    <n v="7179.5999999999995"/>
    <n v="16252.2"/>
    <n v="0"/>
    <n v="9651.6"/>
    <m/>
    <m/>
    <n v="0"/>
    <n v="0"/>
    <m/>
    <m/>
    <m/>
    <m/>
    <m/>
    <m/>
    <m/>
    <m/>
    <m/>
    <m/>
    <m/>
    <m/>
  </r>
  <r>
    <x v="9"/>
    <s v="Wilkes Community College "/>
    <n v="199926"/>
    <x v="7"/>
    <n v="90810"/>
    <n v="105690"/>
    <n v="60247.5"/>
    <n v="69704.099999999991"/>
    <n v="17682.899999999998"/>
    <n v="17817.299999999996"/>
    <n v="6798.6"/>
    <n v="3313.2"/>
    <n v="2767.7999999999997"/>
    <n v="7765.5000000000009"/>
    <n v="3421.8"/>
    <n v="6981.2999999999993"/>
    <m/>
    <m/>
    <n v="0"/>
    <n v="0"/>
    <m/>
    <m/>
    <m/>
    <m/>
    <m/>
    <m/>
    <m/>
    <m/>
    <m/>
    <m/>
    <m/>
    <m/>
  </r>
  <r>
    <x v="9"/>
    <s v="Wilson Technical Community College"/>
    <n v="199953"/>
    <x v="7"/>
    <n v="72210"/>
    <n v="77310"/>
    <n v="44114.7"/>
    <n v="44214.299999999996"/>
    <n v="10919.7"/>
    <n v="11998.200000000004"/>
    <n v="9634.8000000000011"/>
    <n v="0"/>
    <n v="7540.7999999999993"/>
    <n v="11909.400000000001"/>
    <n v="0"/>
    <n v="9188.0999999999985"/>
    <m/>
    <m/>
    <n v="0"/>
    <n v="0"/>
    <m/>
    <m/>
    <m/>
    <m/>
    <m/>
    <m/>
    <m/>
    <m/>
    <m/>
    <m/>
    <m/>
    <m/>
  </r>
  <r>
    <x v="9"/>
    <s v="Beaufort County Community College "/>
    <n v="197966"/>
    <x v="8"/>
    <n v="58379.999999999993"/>
    <n v="64109.999999999993"/>
    <n v="35550"/>
    <n v="38285.700000000004"/>
    <n v="11321.699999999999"/>
    <n v="11766.899999999991"/>
    <n v="5519.1"/>
    <n v="0"/>
    <n v="5989.2"/>
    <n v="7369.5"/>
    <n v="0"/>
    <n v="6687.9000000000005"/>
    <m/>
    <m/>
    <n v="0"/>
    <n v="0"/>
    <m/>
    <m/>
    <m/>
    <m/>
    <m/>
    <m/>
    <m/>
    <m/>
    <m/>
    <m/>
    <m/>
    <m/>
  </r>
  <r>
    <x v="9"/>
    <s v="Bladen Community College"/>
    <n v="198011"/>
    <x v="8"/>
    <n v="46830.000000000007"/>
    <n v="53550"/>
    <n v="27269.4"/>
    <n v="31557.9"/>
    <n v="4753.8"/>
    <n v="4773.3"/>
    <n v="8501.4000000000015"/>
    <n v="1155.9000000000001"/>
    <n v="5149.5"/>
    <n v="10410"/>
    <n v="1138.1999999999998"/>
    <n v="5670.6"/>
    <m/>
    <m/>
    <n v="0"/>
    <n v="0"/>
    <m/>
    <m/>
    <m/>
    <m/>
    <m/>
    <m/>
    <m/>
    <m/>
    <m/>
    <m/>
    <m/>
    <m/>
  </r>
  <r>
    <x v="9"/>
    <s v="Brunswick Community College"/>
    <n v="198084"/>
    <x v="8"/>
    <n v="49949.999999999993"/>
    <n v="58200"/>
    <n v="35153.699999999997"/>
    <n v="41607.899999999994"/>
    <n v="6559.2"/>
    <n v="7853.1000000000022"/>
    <n v="3974.3999999999996"/>
    <n v="444.6"/>
    <n v="3818.1"/>
    <n v="5223.8999999999996"/>
    <n v="240"/>
    <n v="3275.1"/>
    <m/>
    <m/>
    <n v="0"/>
    <n v="0"/>
    <m/>
    <m/>
    <m/>
    <m/>
    <m/>
    <m/>
    <m/>
    <m/>
    <m/>
    <m/>
    <m/>
    <m/>
  </r>
  <r>
    <x v="9"/>
    <s v="Carteret Community College"/>
    <n v="198206"/>
    <x v="8"/>
    <n v="59820"/>
    <n v="65190"/>
    <n v="38489.100000000006"/>
    <n v="41051.999999999993"/>
    <n v="9530.7000000000007"/>
    <n v="11286.900000000003"/>
    <n v="8880.5999999999985"/>
    <n v="0"/>
    <n v="2919.6"/>
    <n v="10003.799999999999"/>
    <n v="0"/>
    <n v="2847.2999999999997"/>
    <m/>
    <m/>
    <n v="0"/>
    <n v="0"/>
    <m/>
    <m/>
    <m/>
    <m/>
    <m/>
    <m/>
    <m/>
    <m/>
    <m/>
    <m/>
    <m/>
    <m/>
  </r>
  <r>
    <x v="9"/>
    <s v="Halifax Community College "/>
    <n v="198640"/>
    <x v="8"/>
    <n v="50669.999999999993"/>
    <n v="57000"/>
    <n v="28440"/>
    <n v="30876"/>
    <n v="11560.5"/>
    <n v="10510.799999999996"/>
    <n v="5321.7000000000007"/>
    <n v="275.7"/>
    <n v="5072.0999999999995"/>
    <n v="6947.4000000000005"/>
    <n v="274.8"/>
    <n v="8391"/>
    <m/>
    <m/>
    <n v="0"/>
    <n v="0"/>
    <m/>
    <m/>
    <m/>
    <m/>
    <m/>
    <m/>
    <m/>
    <m/>
    <m/>
    <m/>
    <m/>
    <m/>
  </r>
  <r>
    <x v="9"/>
    <s v="James Sprunt Community College"/>
    <n v="198729"/>
    <x v="8"/>
    <n v="44010.000000000007"/>
    <n v="50310"/>
    <n v="31508.1"/>
    <n v="35460.9"/>
    <n v="8679.9000000000015"/>
    <n v="7674.2999999999929"/>
    <n v="1981.8000000000002"/>
    <n v="354.3"/>
    <n v="1485.9"/>
    <n v="4542.3"/>
    <n v="357.3"/>
    <n v="2275.2000000000003"/>
    <m/>
    <m/>
    <n v="0"/>
    <n v="0"/>
    <m/>
    <m/>
    <m/>
    <m/>
    <m/>
    <m/>
    <m/>
    <m/>
    <m/>
    <m/>
    <m/>
    <m/>
  </r>
  <r>
    <x v="9"/>
    <s v="Martin Community College "/>
    <n v="198905"/>
    <x v="8"/>
    <n v="27180"/>
    <n v="32280"/>
    <n v="17253.3"/>
    <n v="17867.399999999998"/>
    <n v="6711.9000000000005"/>
    <n v="6455.1"/>
    <n v="1623.3"/>
    <n v="95.1"/>
    <n v="1496.4"/>
    <n v="3925.5"/>
    <n v="126.6"/>
    <n v="3905.4"/>
    <m/>
    <m/>
    <n v="0"/>
    <n v="0"/>
    <m/>
    <m/>
    <m/>
    <m/>
    <m/>
    <m/>
    <m/>
    <m/>
    <m/>
    <m/>
    <m/>
    <m/>
  </r>
  <r>
    <x v="9"/>
    <s v="McDowell Technical Community College"/>
    <n v="198923"/>
    <x v="8"/>
    <n v="45840"/>
    <n v="54900"/>
    <n v="31977.3"/>
    <n v="39927.899999999994"/>
    <n v="9681.6"/>
    <n v="9693.6000000000095"/>
    <n v="1885.2"/>
    <n v="113.39999999999999"/>
    <n v="2182.5"/>
    <n v="2483.4"/>
    <n v="202.5"/>
    <n v="2592.6"/>
    <m/>
    <m/>
    <n v="0"/>
    <n v="0"/>
    <m/>
    <m/>
    <m/>
    <m/>
    <m/>
    <m/>
    <m/>
    <m/>
    <m/>
    <m/>
    <m/>
    <m/>
  </r>
  <r>
    <x v="9"/>
    <s v="Montgomery Community College"/>
    <n v="199023"/>
    <x v="8"/>
    <n v="33570"/>
    <n v="34320"/>
    <n v="21400.2"/>
    <n v="20148.900000000001"/>
    <n v="6296.9999999999991"/>
    <n v="6125.7000000000007"/>
    <n v="3159.6"/>
    <n v="570"/>
    <n v="2143.1999999999998"/>
    <n v="4991.1000000000004"/>
    <n v="424.8"/>
    <n v="2629.4999999999995"/>
    <m/>
    <m/>
    <n v="0"/>
    <n v="0"/>
    <m/>
    <m/>
    <m/>
    <m/>
    <m/>
    <m/>
    <m/>
    <m/>
    <m/>
    <m/>
    <m/>
    <m/>
  </r>
  <r>
    <x v="9"/>
    <s v="Pamlico Community College"/>
    <n v="199263"/>
    <x v="8"/>
    <n v="17940"/>
    <n v="20520.000000000004"/>
    <n v="6735.3000000000011"/>
    <n v="7991.1"/>
    <n v="9111"/>
    <n v="9282.9000000000051"/>
    <n v="2038.7999999999997"/>
    <n v="39.300000000000004"/>
    <n v="15.600000000000001"/>
    <n v="2951.1000000000004"/>
    <n v="19.8"/>
    <n v="275.10000000000002"/>
    <m/>
    <m/>
    <n v="0"/>
    <n v="0"/>
    <m/>
    <m/>
    <m/>
    <m/>
    <m/>
    <m/>
    <m/>
    <m/>
    <m/>
    <m/>
    <m/>
    <m/>
  </r>
  <r>
    <x v="9"/>
    <s v="Roanoke-Chowan Community College"/>
    <n v="199467"/>
    <x v="8"/>
    <n v="29040.000000000004"/>
    <n v="31260"/>
    <n v="15051.6"/>
    <n v="16670.099999999999"/>
    <n v="8581.2000000000007"/>
    <n v="8867.4000000000015"/>
    <n v="3444.3"/>
    <n v="0"/>
    <n v="1962.9"/>
    <n v="3356.9999999999995"/>
    <n v="50.699999999999996"/>
    <n v="2314.7999999999997"/>
    <m/>
    <m/>
    <n v="0"/>
    <n v="0"/>
    <m/>
    <m/>
    <m/>
    <m/>
    <m/>
    <m/>
    <m/>
    <m/>
    <m/>
    <m/>
    <m/>
    <m/>
  </r>
  <r>
    <x v="9"/>
    <s v="Sampson Community College"/>
    <n v="199625"/>
    <x v="8"/>
    <n v="57480"/>
    <n v="62100.000000000007"/>
    <n v="36797.100000000006"/>
    <n v="40300.800000000003"/>
    <n v="15296.699999999999"/>
    <n v="14540.999999999996"/>
    <n v="2520"/>
    <n v="545.69999999999993"/>
    <n v="2320.5"/>
    <n v="2847.2999999999997"/>
    <n v="773.40000000000009"/>
    <n v="3637.5"/>
    <m/>
    <m/>
    <n v="0"/>
    <n v="0"/>
    <m/>
    <m/>
    <m/>
    <m/>
    <m/>
    <m/>
    <m/>
    <m/>
    <m/>
    <m/>
    <m/>
    <m/>
  </r>
  <r>
    <x v="9"/>
    <s v="Tri-County Community College "/>
    <n v="199795"/>
    <x v="8"/>
    <n v="34800"/>
    <n v="42240"/>
    <n v="20501.7"/>
    <n v="22357.5"/>
    <n v="6129.3"/>
    <n v="6333"/>
    <n v="4096.5"/>
    <n v="522.29999999999995"/>
    <n v="3550.2000000000003"/>
    <n v="7698.6"/>
    <n v="659.09999999999991"/>
    <n v="5191.8"/>
    <m/>
    <m/>
    <n v="0"/>
    <n v="0"/>
    <m/>
    <m/>
    <m/>
    <m/>
    <m/>
    <m/>
    <m/>
    <m/>
    <m/>
    <m/>
    <m/>
    <m/>
  </r>
  <r>
    <x v="10"/>
    <s v="Oklahoma State University Main Campus"/>
    <n v="207388"/>
    <x v="0"/>
    <n v="507654"/>
    <n v="474134"/>
    <n v="484524"/>
    <n v="443380"/>
    <n v="5542"/>
    <n v="24"/>
    <n v="16816"/>
    <m/>
    <n v="148"/>
    <n v="26434"/>
    <n v="3873"/>
    <m/>
    <n v="624"/>
    <n v="423"/>
    <n v="64375"/>
    <n v="104501"/>
    <n v="55293"/>
    <n v="91134"/>
    <n v="760"/>
    <n v="21"/>
    <n v="7447"/>
    <m/>
    <n v="618"/>
    <n v="10060"/>
    <n v="2701"/>
    <n v="12"/>
    <n v="257"/>
    <n v="573"/>
  </r>
  <r>
    <x v="10"/>
    <s v="University of Oklahoma Norman Campus"/>
    <n v="207500"/>
    <x v="0"/>
    <n v="526352"/>
    <n v="564814"/>
    <n v="487925"/>
    <n v="494334"/>
    <n v="1121"/>
    <n v="8806"/>
    <n v="36348"/>
    <n v="64"/>
    <n v="237"/>
    <n v="54732"/>
    <n v="6422"/>
    <m/>
    <n v="657"/>
    <n v="520"/>
    <n v="92761"/>
    <n v="81488"/>
    <n v="64469"/>
    <n v="60712"/>
    <n v="18281"/>
    <n v="12471"/>
    <n v="9369"/>
    <n v="642"/>
    <m/>
    <n v="7402"/>
    <n v="903"/>
    <m/>
    <m/>
    <m/>
  </r>
  <r>
    <x v="10"/>
    <s v="Northeastern State University"/>
    <n v="207263"/>
    <x v="2"/>
    <n v="199691"/>
    <n v="200335"/>
    <n v="183756"/>
    <n v="171957"/>
    <m/>
    <n v="1963"/>
    <n v="14831"/>
    <n v="1104"/>
    <m/>
    <n v="25708"/>
    <n v="707"/>
    <m/>
    <m/>
    <m/>
    <n v="17863"/>
    <n v="20039"/>
    <n v="16603"/>
    <n v="17108"/>
    <m/>
    <n v="1689"/>
    <n v="786"/>
    <n v="474"/>
    <m/>
    <n v="792"/>
    <n v="450"/>
    <m/>
    <m/>
    <m/>
  </r>
  <r>
    <x v="10"/>
    <s v="University of Central Oklahoma"/>
    <n v="206941"/>
    <x v="2"/>
    <n v="311394"/>
    <n v="340747"/>
    <n v="293529"/>
    <n v="318466"/>
    <n v="2773"/>
    <n v="3879"/>
    <n v="11395"/>
    <n v="297"/>
    <n v="3400"/>
    <n v="14419"/>
    <n v="423"/>
    <n v="3560"/>
    <m/>
    <m/>
    <n v="20251"/>
    <n v="23808"/>
    <n v="16494"/>
    <n v="19821"/>
    <n v="618"/>
    <n v="1180"/>
    <n v="1640"/>
    <n v="121"/>
    <n v="1378"/>
    <n v="1258"/>
    <n v="233"/>
    <n v="1316"/>
    <m/>
    <m/>
  </r>
  <r>
    <x v="10"/>
    <s v="Cameron University "/>
    <n v="206914"/>
    <x v="4"/>
    <n v="118501"/>
    <n v="127416"/>
    <n v="97161"/>
    <n v="100519"/>
    <m/>
    <n v="2441"/>
    <n v="10710"/>
    <n v="10630"/>
    <m/>
    <n v="13985"/>
    <n v="10471"/>
    <m/>
    <m/>
    <m/>
    <n v="5870"/>
    <n v="6081"/>
    <n v="2768"/>
    <n v="2964"/>
    <m/>
    <m/>
    <n v="1842"/>
    <n v="1260"/>
    <m/>
    <n v="2196"/>
    <n v="921"/>
    <m/>
    <m/>
    <m/>
  </r>
  <r>
    <x v="10"/>
    <s v="East Central University "/>
    <n v="207041"/>
    <x v="4"/>
    <n v="88708"/>
    <n v="98149"/>
    <n v="77529"/>
    <n v="82065"/>
    <n v="6"/>
    <n v="968"/>
    <n v="4401"/>
    <n v="2669"/>
    <n v="4103"/>
    <n v="7129"/>
    <n v="2723"/>
    <n v="5264"/>
    <m/>
    <m/>
    <n v="10469"/>
    <n v="13243"/>
    <n v="5039"/>
    <n v="6105"/>
    <n v="457"/>
    <n v="816"/>
    <n v="2648"/>
    <n v="1581"/>
    <n v="744"/>
    <n v="5024"/>
    <n v="575"/>
    <n v="723"/>
    <m/>
    <m/>
  </r>
  <r>
    <x v="10"/>
    <s v="Langston University"/>
    <n v="207209"/>
    <x v="4"/>
    <n v="65157"/>
    <n v="69227"/>
    <n v="65157"/>
    <n v="69227"/>
    <m/>
    <m/>
    <m/>
    <m/>
    <m/>
    <m/>
    <m/>
    <m/>
    <m/>
    <m/>
    <n v="7597"/>
    <n v="9575"/>
    <n v="7597"/>
    <n v="9083"/>
    <m/>
    <n v="492"/>
    <m/>
    <m/>
    <m/>
    <m/>
    <m/>
    <m/>
    <m/>
    <m/>
  </r>
  <r>
    <x v="10"/>
    <s v="Northwestern Oklahoma State University "/>
    <n v="207306"/>
    <x v="4"/>
    <n v="48494"/>
    <n v="51207"/>
    <n v="35862"/>
    <n v="37025"/>
    <n v="126"/>
    <n v="102"/>
    <n v="5358"/>
    <n v="7025"/>
    <n v="123"/>
    <n v="4980"/>
    <n v="9100"/>
    <m/>
    <m/>
    <m/>
    <n v="3261"/>
    <n v="2866"/>
    <n v="1443"/>
    <n v="1580"/>
    <m/>
    <m/>
    <n v="422"/>
    <n v="1396"/>
    <m/>
    <n v="349"/>
    <n v="937"/>
    <m/>
    <m/>
    <m/>
  </r>
  <r>
    <x v="10"/>
    <s v="Southeastern Oklahoma State University "/>
    <n v="207847"/>
    <x v="4"/>
    <n v="91009"/>
    <n v="96578"/>
    <n v="66795"/>
    <n v="67522"/>
    <m/>
    <n v="2025"/>
    <n v="19779"/>
    <n v="4435"/>
    <m/>
    <n v="22578"/>
    <n v="4453"/>
    <m/>
    <m/>
    <m/>
    <n v="5714"/>
    <n v="6241"/>
    <n v="3509"/>
    <n v="2355"/>
    <n v="198"/>
    <n v="1587"/>
    <n v="1494"/>
    <n v="513"/>
    <m/>
    <n v="1462"/>
    <n v="738"/>
    <n v="99"/>
    <m/>
    <m/>
  </r>
  <r>
    <x v="10"/>
    <s v="Southwestern Oklahoma State University"/>
    <n v="207865"/>
    <x v="4"/>
    <n v="116855"/>
    <n v="101417"/>
    <n v="111077"/>
    <n v="71094"/>
    <n v="1084"/>
    <n v="2621"/>
    <n v="1445"/>
    <n v="2065"/>
    <n v="1184"/>
    <n v="22642"/>
    <n v="5060"/>
    <m/>
    <m/>
    <m/>
    <n v="11935"/>
    <n v="11958"/>
    <n v="8665"/>
    <n v="8158"/>
    <m/>
    <m/>
    <n v="126"/>
    <n v="3144"/>
    <m/>
    <n v="458"/>
    <n v="3339"/>
    <n v="3"/>
    <m/>
    <m/>
  </r>
  <r>
    <x v="10"/>
    <s v="Oklahoma Panhandle State University "/>
    <n v="207351"/>
    <x v="5"/>
    <n v="32283"/>
    <n v="31574"/>
    <n v="27863"/>
    <n v="26381"/>
    <m/>
    <m/>
    <n v="4179"/>
    <n v="240"/>
    <n v="1"/>
    <n v="4986"/>
    <n v="207"/>
    <m/>
    <m/>
    <m/>
    <n v="0"/>
    <n v="0"/>
    <m/>
    <m/>
    <m/>
    <m/>
    <m/>
    <m/>
    <m/>
    <m/>
    <m/>
    <m/>
    <m/>
    <m/>
  </r>
  <r>
    <x v="10"/>
    <s v="Rogers State University"/>
    <n v="207661"/>
    <x v="5"/>
    <n v="84566"/>
    <n v="91257"/>
    <n v="57220"/>
    <n v="61739"/>
    <n v="2130"/>
    <n v="1271"/>
    <n v="21353"/>
    <n v="3863"/>
    <m/>
    <n v="24175"/>
    <n v="4072"/>
    <m/>
    <m/>
    <m/>
    <n v="0"/>
    <n v="0"/>
    <m/>
    <m/>
    <m/>
    <m/>
    <m/>
    <m/>
    <m/>
    <m/>
    <m/>
    <m/>
    <m/>
    <m/>
  </r>
  <r>
    <x v="10"/>
    <s v="University of Science and Arts of Oklahoma"/>
    <n v="207722"/>
    <x v="5"/>
    <n v="32312"/>
    <n v="31386"/>
    <n v="32013"/>
    <n v="31246"/>
    <n v="299"/>
    <n v="140"/>
    <m/>
    <m/>
    <m/>
    <m/>
    <m/>
    <m/>
    <m/>
    <m/>
    <n v="0"/>
    <n v="0"/>
    <m/>
    <m/>
    <m/>
    <m/>
    <m/>
    <m/>
    <m/>
    <m/>
    <m/>
    <m/>
    <m/>
    <m/>
  </r>
  <r>
    <x v="10"/>
    <s v="Oklahoma State University Technical Branch-Okmulgee "/>
    <n v="207564"/>
    <x v="11"/>
    <n v="88090"/>
    <n v="93148"/>
    <n v="69487"/>
    <n v="64141"/>
    <n v="18603"/>
    <n v="29007"/>
    <m/>
    <m/>
    <m/>
    <m/>
    <m/>
    <m/>
    <m/>
    <m/>
    <n v="0"/>
    <n v="0"/>
    <m/>
    <m/>
    <m/>
    <m/>
    <m/>
    <m/>
    <m/>
    <m/>
    <m/>
    <m/>
    <m/>
    <m/>
  </r>
  <r>
    <x v="10"/>
    <s v="Oklahoma City Community College "/>
    <n v="207449"/>
    <x v="6"/>
    <n v="238411"/>
    <n v="265516"/>
    <n v="184344"/>
    <n v="193203"/>
    <n v="11725"/>
    <n v="22070"/>
    <n v="32478"/>
    <m/>
    <m/>
    <n v="37940"/>
    <n v="128"/>
    <m/>
    <n v="9864"/>
    <n v="12175"/>
    <n v="0"/>
    <n v="0"/>
    <m/>
    <m/>
    <m/>
    <m/>
    <m/>
    <m/>
    <m/>
    <m/>
    <m/>
    <m/>
    <m/>
    <m/>
  </r>
  <r>
    <x v="10"/>
    <s v="Tulsa Community College "/>
    <n v="207935"/>
    <x v="6"/>
    <n v="340828"/>
    <n v="374984"/>
    <n v="251135"/>
    <n v="280639"/>
    <n v="14907"/>
    <n v="13403"/>
    <n v="71318"/>
    <n v="587"/>
    <n v="2881"/>
    <n v="78874"/>
    <n v="2068"/>
    <m/>
    <m/>
    <m/>
    <n v="0"/>
    <n v="0"/>
    <m/>
    <m/>
    <m/>
    <m/>
    <m/>
    <m/>
    <m/>
    <m/>
    <m/>
    <m/>
    <m/>
    <m/>
  </r>
  <r>
    <x v="10"/>
    <s v="Northern Oklahoma College "/>
    <n v="207281"/>
    <x v="7"/>
    <n v="104328"/>
    <n v="97699"/>
    <n v="90987"/>
    <n v="71976"/>
    <n v="4710"/>
    <n v="7494"/>
    <n v="3839"/>
    <n v="4792"/>
    <m/>
    <n v="5635"/>
    <n v="11407"/>
    <m/>
    <m/>
    <n v="1187"/>
    <n v="0"/>
    <n v="0"/>
    <m/>
    <m/>
    <m/>
    <m/>
    <m/>
    <m/>
    <m/>
    <m/>
    <m/>
    <m/>
    <m/>
    <m/>
  </r>
  <r>
    <x v="10"/>
    <s v="Oklahoma State University-Oklahoma City "/>
    <n v="207397"/>
    <x v="7"/>
    <n v="113666"/>
    <n v="123945"/>
    <n v="80899"/>
    <n v="85842"/>
    <m/>
    <m/>
    <n v="28594"/>
    <m/>
    <n v="4173"/>
    <n v="32670"/>
    <n v="5433"/>
    <m/>
    <m/>
    <m/>
    <n v="0"/>
    <n v="0"/>
    <m/>
    <m/>
    <m/>
    <m/>
    <m/>
    <m/>
    <m/>
    <m/>
    <m/>
    <m/>
    <m/>
    <m/>
  </r>
  <r>
    <x v="10"/>
    <s v="Rose State College "/>
    <n v="207670"/>
    <x v="7"/>
    <n v="139993"/>
    <n v="150961"/>
    <n v="103715"/>
    <n v="111149"/>
    <n v="8321"/>
    <n v="10581"/>
    <n v="25674"/>
    <n v="39"/>
    <n v="2244"/>
    <n v="25744"/>
    <n v="3409"/>
    <n v="78"/>
    <m/>
    <m/>
    <n v="0"/>
    <n v="0"/>
    <m/>
    <m/>
    <m/>
    <m/>
    <m/>
    <m/>
    <m/>
    <m/>
    <m/>
    <m/>
    <m/>
    <m/>
  </r>
  <r>
    <x v="10"/>
    <s v="Carl Albert State College"/>
    <n v="206923"/>
    <x v="8"/>
    <n v="54875"/>
    <n v="57329"/>
    <n v="43336"/>
    <n v="44741"/>
    <n v="64"/>
    <n v="26"/>
    <n v="11145"/>
    <n v="330"/>
    <m/>
    <n v="12166"/>
    <n v="396"/>
    <m/>
    <m/>
    <m/>
    <n v="0"/>
    <n v="0"/>
    <m/>
    <m/>
    <m/>
    <m/>
    <m/>
    <m/>
    <m/>
    <m/>
    <m/>
    <m/>
    <m/>
    <m/>
  </r>
  <r>
    <x v="10"/>
    <s v="Connors State College "/>
    <n v="206996"/>
    <x v="8"/>
    <n v="49565"/>
    <n v="50750"/>
    <n v="31977"/>
    <n v="14136"/>
    <n v="9481"/>
    <n v="25586"/>
    <n v="2898"/>
    <n v="5209"/>
    <m/>
    <n v="5312"/>
    <n v="5716"/>
    <m/>
    <m/>
    <m/>
    <n v="0"/>
    <n v="0"/>
    <m/>
    <m/>
    <m/>
    <m/>
    <m/>
    <m/>
    <m/>
    <m/>
    <m/>
    <m/>
    <m/>
    <m/>
  </r>
  <r>
    <x v="10"/>
    <s v="Eastern Oklahoma State College "/>
    <n v="207050"/>
    <x v="8"/>
    <n v="40216"/>
    <n v="42938"/>
    <n v="31797"/>
    <n v="31722"/>
    <n v="1874"/>
    <n v="3754"/>
    <n v="4154"/>
    <n v="2391"/>
    <m/>
    <n v="5164"/>
    <n v="2298"/>
    <m/>
    <m/>
    <m/>
    <n v="0"/>
    <n v="0"/>
    <m/>
    <m/>
    <m/>
    <m/>
    <m/>
    <m/>
    <m/>
    <m/>
    <m/>
    <m/>
    <m/>
    <m/>
  </r>
  <r>
    <x v="10"/>
    <s v="Murray State College "/>
    <n v="207236"/>
    <x v="8"/>
    <n v="51132"/>
    <n v="53094"/>
    <n v="36407"/>
    <n v="20673"/>
    <n v="432"/>
    <n v="16654"/>
    <n v="9849"/>
    <n v="4444"/>
    <m/>
    <n v="10405"/>
    <n v="5362"/>
    <m/>
    <m/>
    <m/>
    <n v="0"/>
    <n v="0"/>
    <m/>
    <m/>
    <m/>
    <m/>
    <m/>
    <m/>
    <m/>
    <m/>
    <m/>
    <m/>
    <m/>
    <m/>
  </r>
  <r>
    <x v="10"/>
    <s v="Northeastern Oklahoma A &amp; M College "/>
    <n v="207290"/>
    <x v="8"/>
    <n v="45515"/>
    <n v="53362"/>
    <n v="40822"/>
    <n v="43924"/>
    <n v="367"/>
    <n v="989"/>
    <n v="3798"/>
    <n v="510"/>
    <n v="18"/>
    <n v="7144"/>
    <n v="1305"/>
    <m/>
    <m/>
    <m/>
    <n v="0"/>
    <n v="0"/>
    <m/>
    <m/>
    <m/>
    <m/>
    <m/>
    <m/>
    <m/>
    <m/>
    <m/>
    <m/>
    <m/>
    <m/>
  </r>
  <r>
    <x v="10"/>
    <s v="Redlands Community College"/>
    <n v="207069"/>
    <x v="8"/>
    <n v="42400"/>
    <n v="43559"/>
    <n v="22796"/>
    <n v="23444"/>
    <n v="5737"/>
    <n v="6012"/>
    <n v="12244"/>
    <n v="1575"/>
    <n v="48"/>
    <n v="12318"/>
    <n v="1785"/>
    <m/>
    <m/>
    <m/>
    <n v="0"/>
    <n v="0"/>
    <m/>
    <m/>
    <m/>
    <m/>
    <m/>
    <m/>
    <m/>
    <m/>
    <m/>
    <m/>
    <m/>
    <m/>
  </r>
  <r>
    <x v="10"/>
    <s v="Seminole State College "/>
    <n v="207740"/>
    <x v="8"/>
    <n v="42628"/>
    <n v="48965"/>
    <n v="30824"/>
    <n v="36160"/>
    <n v="7438"/>
    <n v="7231"/>
    <n v="4183"/>
    <n v="135"/>
    <n v="48"/>
    <n v="5463"/>
    <n v="111"/>
    <m/>
    <m/>
    <m/>
    <n v="0"/>
    <n v="0"/>
    <m/>
    <m/>
    <m/>
    <m/>
    <m/>
    <m/>
    <m/>
    <m/>
    <m/>
    <m/>
    <m/>
    <m/>
  </r>
  <r>
    <x v="10"/>
    <s v="Western Oklahoma State College "/>
    <n v="208035"/>
    <x v="8"/>
    <n v="38219"/>
    <n v="47520"/>
    <n v="18937"/>
    <n v="18891"/>
    <n v="4987"/>
    <n v="7084"/>
    <n v="10821"/>
    <n v="2916"/>
    <n v="558"/>
    <n v="19223"/>
    <n v="2322"/>
    <m/>
    <m/>
    <m/>
    <n v="0"/>
    <n v="0"/>
    <m/>
    <m/>
    <m/>
    <m/>
    <m/>
    <m/>
    <m/>
    <m/>
    <m/>
    <m/>
    <m/>
    <m/>
  </r>
  <r>
    <x v="11"/>
    <s v="Clemson University"/>
    <n v="217882"/>
    <x v="0"/>
    <n v="441422"/>
    <n v="456359"/>
    <n v="417484"/>
    <n v="426379"/>
    <n v="3385"/>
    <n v="3564"/>
    <n v="20553"/>
    <m/>
    <m/>
    <n v="26416"/>
    <m/>
    <m/>
    <m/>
    <m/>
    <n v="59721"/>
    <n v="67757"/>
    <n v="52431"/>
    <n v="53863"/>
    <n v="5560"/>
    <n v="10060"/>
    <n v="1730"/>
    <m/>
    <m/>
    <n v="3834"/>
    <m/>
    <m/>
    <m/>
    <m/>
  </r>
  <r>
    <x v="11"/>
    <s v="University of South Carolina-Columbia"/>
    <n v="218663"/>
    <x v="0"/>
    <n v="577517"/>
    <n v="602301"/>
    <n v="555583"/>
    <n v="578438"/>
    <n v="14518"/>
    <n v="14337"/>
    <n v="885"/>
    <n v="1389"/>
    <n v="5142"/>
    <n v="3712"/>
    <n v="2398"/>
    <n v="3416"/>
    <m/>
    <m/>
    <n v="107142"/>
    <n v="111336"/>
    <n v="72578"/>
    <n v="71097"/>
    <n v="9263"/>
    <n v="9844"/>
    <n v="16545"/>
    <n v="84"/>
    <n v="8672"/>
    <n v="22864"/>
    <m/>
    <n v="7531"/>
    <m/>
    <m/>
  </r>
  <r>
    <x v="11"/>
    <s v="College of Charleston"/>
    <n v="217819"/>
    <x v="2"/>
    <n v="283739"/>
    <n v="289361"/>
    <n v="283739"/>
    <n v="289274"/>
    <m/>
    <n v="87"/>
    <m/>
    <m/>
    <m/>
    <m/>
    <m/>
    <m/>
    <m/>
    <m/>
    <n v="18871"/>
    <n v="18619"/>
    <n v="10447"/>
    <n v="12285"/>
    <n v="8136"/>
    <n v="6241"/>
    <n v="288"/>
    <m/>
    <m/>
    <n v="93"/>
    <m/>
    <m/>
    <m/>
    <m/>
  </r>
  <r>
    <x v="11"/>
    <s v="Winthrop University "/>
    <n v="218964"/>
    <x v="2"/>
    <n v="144635.5"/>
    <n v="143947"/>
    <n v="143463.5"/>
    <n v="142404"/>
    <n v="1172"/>
    <n v="1543"/>
    <m/>
    <m/>
    <m/>
    <m/>
    <m/>
    <m/>
    <m/>
    <m/>
    <n v="16598"/>
    <n v="17814"/>
    <n v="13882"/>
    <n v="15192"/>
    <n v="2716"/>
    <n v="2622"/>
    <m/>
    <m/>
    <m/>
    <m/>
    <m/>
    <m/>
    <m/>
    <m/>
  </r>
  <r>
    <x v="11"/>
    <s v="The Citadel, the Military College of South Carolina "/>
    <n v="217864"/>
    <x v="3"/>
    <n v="81587"/>
    <n v="83574"/>
    <n v="81329"/>
    <n v="83277"/>
    <n v="156"/>
    <n v="189"/>
    <n v="102"/>
    <m/>
    <m/>
    <n v="108"/>
    <m/>
    <m/>
    <m/>
    <m/>
    <n v="15795.5"/>
    <n v="15590"/>
    <n v="13504.5"/>
    <n v="14030"/>
    <n v="1710"/>
    <n v="981"/>
    <n v="581"/>
    <m/>
    <m/>
    <n v="579"/>
    <m/>
    <m/>
    <m/>
    <m/>
  </r>
  <r>
    <x v="11"/>
    <s v="Coastal Carolina University"/>
    <n v="218724"/>
    <x v="4"/>
    <n v="213061"/>
    <n v="222498"/>
    <n v="207530"/>
    <n v="213939"/>
    <n v="1094"/>
    <n v="1309"/>
    <n v="4437"/>
    <m/>
    <m/>
    <n v="7250"/>
    <m/>
    <m/>
    <m/>
    <m/>
    <n v="7553"/>
    <n v="7506"/>
    <n v="4439"/>
    <n v="4149"/>
    <n v="1413"/>
    <n v="1146"/>
    <n v="1701"/>
    <m/>
    <m/>
    <n v="2211"/>
    <m/>
    <m/>
    <m/>
    <m/>
  </r>
  <r>
    <x v="11"/>
    <s v="Francis Marion University "/>
    <n v="218061"/>
    <x v="4"/>
    <n v="95142"/>
    <n v="98637"/>
    <n v="95062"/>
    <n v="98585"/>
    <n v="80"/>
    <n v="52"/>
    <m/>
    <m/>
    <m/>
    <m/>
    <m/>
    <m/>
    <m/>
    <m/>
    <n v="5666"/>
    <n v="4366"/>
    <n v="3081"/>
    <n v="2257"/>
    <n v="2585"/>
    <n v="2109"/>
    <m/>
    <m/>
    <m/>
    <m/>
    <m/>
    <m/>
    <m/>
    <m/>
  </r>
  <r>
    <x v="11"/>
    <s v="Lander University"/>
    <n v="218229"/>
    <x v="5"/>
    <n v="69162.5"/>
    <n v="76100"/>
    <n v="64423"/>
    <n v="71575"/>
    <n v="620"/>
    <n v="453"/>
    <n v="3369.5"/>
    <n v="750"/>
    <m/>
    <n v="3647"/>
    <n v="426"/>
    <m/>
    <m/>
    <m/>
    <n v="1626"/>
    <n v="1434"/>
    <n v="972"/>
    <n v="741"/>
    <n v="270"/>
    <n v="321"/>
    <n v="384"/>
    <m/>
    <m/>
    <n v="372"/>
    <m/>
    <m/>
    <m/>
    <m/>
  </r>
  <r>
    <x v="11"/>
    <s v="South Carolina State University "/>
    <n v="218733"/>
    <x v="4"/>
    <n v="125474"/>
    <n v="118626"/>
    <n v="125145"/>
    <n v="116127"/>
    <n v="329"/>
    <n v="281"/>
    <m/>
    <m/>
    <m/>
    <n v="2218"/>
    <m/>
    <m/>
    <m/>
    <m/>
    <n v="12370"/>
    <n v="11693"/>
    <n v="10780"/>
    <n v="8878"/>
    <n v="918"/>
    <n v="79"/>
    <n v="672"/>
    <m/>
    <m/>
    <n v="2736"/>
    <m/>
    <m/>
    <m/>
    <m/>
  </r>
  <r>
    <x v="11"/>
    <s v="University of South Carolina-Aiken"/>
    <n v="218645"/>
    <x v="5"/>
    <n v="81503"/>
    <n v="82339"/>
    <n v="77213"/>
    <n v="76957"/>
    <n v="3643"/>
    <n v="3405"/>
    <n v="647"/>
    <m/>
    <m/>
    <n v="1977"/>
    <m/>
    <m/>
    <m/>
    <m/>
    <n v="1490"/>
    <n v="996"/>
    <n v="807"/>
    <n v="616"/>
    <n v="470"/>
    <n v="122"/>
    <n v="213"/>
    <m/>
    <m/>
    <n v="213"/>
    <m/>
    <n v="45"/>
    <m/>
    <m/>
  </r>
  <r>
    <x v="11"/>
    <s v="University of South Carolina-Upstate"/>
    <n v="218742"/>
    <x v="5"/>
    <n v="137057"/>
    <n v="142601"/>
    <n v="115967"/>
    <n v="120732"/>
    <n v="21090"/>
    <n v="12214"/>
    <m/>
    <m/>
    <m/>
    <n v="9352"/>
    <m/>
    <n v="303"/>
    <m/>
    <m/>
    <n v="1156"/>
    <n v="1345"/>
    <n v="409"/>
    <n v="781"/>
    <n v="747"/>
    <n v="231"/>
    <m/>
    <m/>
    <m/>
    <n v="333"/>
    <m/>
    <m/>
    <m/>
    <m/>
  </r>
  <r>
    <x v="11"/>
    <s v="University of South Carolina-Beaufort"/>
    <n v="218654"/>
    <x v="5"/>
    <n v="35651"/>
    <n v="41461"/>
    <n v="30275"/>
    <n v="36548"/>
    <n v="4205"/>
    <n v="4913"/>
    <n v="1171"/>
    <m/>
    <m/>
    <m/>
    <m/>
    <m/>
    <m/>
    <m/>
    <n v="0"/>
    <n v="0"/>
    <m/>
    <m/>
    <m/>
    <m/>
    <m/>
    <m/>
    <m/>
    <m/>
    <m/>
    <m/>
    <m/>
    <m/>
  </r>
  <r>
    <x v="11"/>
    <s v="Greenville Technical College "/>
    <n v="218113"/>
    <x v="6"/>
    <n v="326553.39"/>
    <n v="347720"/>
    <n v="251045.39"/>
    <n v="258811"/>
    <n v="20709"/>
    <n v="17205"/>
    <n v="51211"/>
    <n v="3204"/>
    <n v="384"/>
    <n v="68776"/>
    <n v="2322"/>
    <n v="606"/>
    <m/>
    <m/>
    <n v="0"/>
    <n v="0"/>
    <m/>
    <m/>
    <m/>
    <m/>
    <m/>
    <m/>
    <m/>
    <m/>
    <m/>
    <m/>
    <m/>
    <m/>
  </r>
  <r>
    <x v="11"/>
    <s v="Midlands Technical College "/>
    <n v="218353"/>
    <x v="6"/>
    <n v="264497.89"/>
    <n v="288919"/>
    <n v="217146.89"/>
    <n v="233966"/>
    <n v="17328"/>
    <n v="17150"/>
    <n v="30023"/>
    <m/>
    <m/>
    <n v="37803"/>
    <m/>
    <m/>
    <m/>
    <m/>
    <n v="0"/>
    <n v="0"/>
    <m/>
    <m/>
    <m/>
    <m/>
    <m/>
    <m/>
    <m/>
    <m/>
    <m/>
    <m/>
    <m/>
    <m/>
  </r>
  <r>
    <x v="11"/>
    <s v="Trident Technical College "/>
    <n v="218894"/>
    <x v="6"/>
    <n v="286829.2"/>
    <n v="335352"/>
    <n v="223730.2"/>
    <n v="258781"/>
    <n v="8715"/>
    <n v="9090"/>
    <n v="51588"/>
    <n v="930"/>
    <n v="1866"/>
    <n v="66641"/>
    <n v="201"/>
    <n v="639"/>
    <m/>
    <m/>
    <n v="0"/>
    <n v="0"/>
    <m/>
    <m/>
    <m/>
    <m/>
    <m/>
    <m/>
    <m/>
    <m/>
    <m/>
    <m/>
    <m/>
    <m/>
  </r>
  <r>
    <x v="11"/>
    <s v="Aiken Technical College "/>
    <n v="217615"/>
    <x v="7"/>
    <n v="68139.72"/>
    <n v="78175"/>
    <n v="55396.72"/>
    <n v="63116"/>
    <n v="3397"/>
    <n v="4351"/>
    <n v="9346"/>
    <m/>
    <m/>
    <n v="10702"/>
    <m/>
    <n v="6"/>
    <m/>
    <m/>
    <n v="0"/>
    <n v="0"/>
    <m/>
    <m/>
    <m/>
    <m/>
    <m/>
    <m/>
    <m/>
    <m/>
    <m/>
    <m/>
    <m/>
    <m/>
  </r>
  <r>
    <x v="11"/>
    <s v="Central Carolina Technical College "/>
    <n v="218858"/>
    <x v="7"/>
    <n v="72580.78"/>
    <n v="82212"/>
    <n v="53363.78"/>
    <n v="58541"/>
    <n v="9212"/>
    <n v="10162"/>
    <n v="9741"/>
    <n v="264"/>
    <m/>
    <n v="12862"/>
    <n v="647"/>
    <m/>
    <m/>
    <m/>
    <n v="0"/>
    <n v="0"/>
    <m/>
    <m/>
    <m/>
    <m/>
    <m/>
    <m/>
    <m/>
    <m/>
    <m/>
    <m/>
    <m/>
    <m/>
  </r>
  <r>
    <x v="11"/>
    <s v="Florence-Darlington Technical College "/>
    <n v="218025"/>
    <x v="7"/>
    <n v="107799.95999999999"/>
    <n v="129223"/>
    <n v="81549.959999999992"/>
    <n v="95334"/>
    <n v="9276"/>
    <n v="10322"/>
    <n v="11807"/>
    <n v="5167"/>
    <m/>
    <n v="17678"/>
    <n v="5889"/>
    <m/>
    <m/>
    <m/>
    <n v="0"/>
    <n v="0"/>
    <m/>
    <m/>
    <m/>
    <m/>
    <m/>
    <m/>
    <m/>
    <m/>
    <m/>
    <m/>
    <m/>
    <m/>
  </r>
  <r>
    <x v="11"/>
    <s v="Horry-Georgetown Technical College "/>
    <n v="218140"/>
    <x v="7"/>
    <n v="133489.25"/>
    <n v="157982"/>
    <n v="111208.25"/>
    <n v="134049"/>
    <n v="6517"/>
    <n v="6399"/>
    <n v="14648"/>
    <n v="1116"/>
    <m/>
    <n v="17534"/>
    <m/>
    <m/>
    <m/>
    <m/>
    <n v="0"/>
    <n v="0"/>
    <m/>
    <m/>
    <m/>
    <m/>
    <m/>
    <m/>
    <m/>
    <m/>
    <m/>
    <m/>
    <m/>
    <m/>
  </r>
  <r>
    <x v="11"/>
    <s v="Orangeburg-Calhoun Technical College "/>
    <n v="218487"/>
    <x v="7"/>
    <n v="62363.15"/>
    <n v="72640"/>
    <n v="49277.15"/>
    <n v="55839"/>
    <n v="7469"/>
    <n v="9396"/>
    <n v="5617"/>
    <m/>
    <m/>
    <n v="7405"/>
    <m/>
    <m/>
    <m/>
    <m/>
    <n v="0"/>
    <n v="0"/>
    <m/>
    <m/>
    <m/>
    <m/>
    <m/>
    <m/>
    <m/>
    <m/>
    <m/>
    <m/>
    <m/>
    <m/>
  </r>
  <r>
    <x v="11"/>
    <s v="Piedmont Technical College "/>
    <n v="218520"/>
    <x v="7"/>
    <n v="121296.55"/>
    <n v="137652"/>
    <n v="66385.55"/>
    <n v="76044"/>
    <n v="16268"/>
    <n v="17229"/>
    <n v="23970"/>
    <n v="14673"/>
    <m/>
    <n v="28964"/>
    <n v="15415"/>
    <m/>
    <m/>
    <m/>
    <n v="0"/>
    <n v="0"/>
    <m/>
    <m/>
    <m/>
    <m/>
    <m/>
    <m/>
    <m/>
    <m/>
    <m/>
    <m/>
    <m/>
    <m/>
  </r>
  <r>
    <x v="11"/>
    <s v="Spartanburg Community College "/>
    <n v="218830"/>
    <x v="7"/>
    <n v="114583.45"/>
    <n v="131893"/>
    <n v="97200.45"/>
    <n v="111530"/>
    <n v="5261"/>
    <n v="5054"/>
    <n v="11942"/>
    <n v="132"/>
    <n v="48"/>
    <n v="15267"/>
    <n v="42"/>
    <m/>
    <m/>
    <m/>
    <n v="0"/>
    <n v="0"/>
    <m/>
    <m/>
    <m/>
    <m/>
    <m/>
    <m/>
    <m/>
    <m/>
    <m/>
    <m/>
    <m/>
    <m/>
  </r>
  <r>
    <x v="11"/>
    <s v="Tri-County Technical College "/>
    <n v="218885"/>
    <x v="7"/>
    <n v="139029.47"/>
    <n v="161982"/>
    <n v="114761.47"/>
    <n v="133502"/>
    <n v="5339"/>
    <n v="5404"/>
    <n v="18929"/>
    <m/>
    <m/>
    <n v="23076"/>
    <m/>
    <m/>
    <m/>
    <m/>
    <n v="0"/>
    <n v="0"/>
    <m/>
    <m/>
    <m/>
    <m/>
    <m/>
    <m/>
    <m/>
    <m/>
    <m/>
    <m/>
    <m/>
    <m/>
  </r>
  <r>
    <x v="11"/>
    <s v="York Technical College "/>
    <n v="218991"/>
    <x v="7"/>
    <n v="122659.51999999999"/>
    <n v="138752"/>
    <n v="83346.51999999999"/>
    <n v="92734"/>
    <n v="10417"/>
    <n v="9427"/>
    <n v="21453"/>
    <n v="6393"/>
    <n v="1050"/>
    <n v="26852"/>
    <n v="8998"/>
    <n v="741"/>
    <m/>
    <m/>
    <n v="0"/>
    <n v="0"/>
    <m/>
    <m/>
    <m/>
    <m/>
    <m/>
    <m/>
    <m/>
    <m/>
    <m/>
    <m/>
    <m/>
    <m/>
  </r>
  <r>
    <x v="11"/>
    <s v="Denmark Technical College "/>
    <n v="217989"/>
    <x v="8"/>
    <n v="37777.600000000006"/>
    <n v="38483"/>
    <n v="34297.600000000006"/>
    <n v="30794"/>
    <n v="1719"/>
    <n v="1085"/>
    <n v="1761"/>
    <m/>
    <m/>
    <n v="6604"/>
    <m/>
    <m/>
    <m/>
    <m/>
    <n v="0"/>
    <n v="0"/>
    <m/>
    <m/>
    <m/>
    <m/>
    <m/>
    <m/>
    <m/>
    <m/>
    <m/>
    <m/>
    <m/>
    <m/>
  </r>
  <r>
    <x v="11"/>
    <s v="Northeastern Technical College "/>
    <n v="217837"/>
    <x v="8"/>
    <n v="25663.86"/>
    <n v="27390"/>
    <n v="21023.86"/>
    <n v="21657"/>
    <n v="30"/>
    <n v="337"/>
    <n v="1113"/>
    <n v="3497"/>
    <m/>
    <n v="2051"/>
    <n v="3345"/>
    <m/>
    <m/>
    <m/>
    <n v="0"/>
    <n v="0"/>
    <m/>
    <m/>
    <m/>
    <m/>
    <m/>
    <m/>
    <m/>
    <m/>
    <m/>
    <m/>
    <m/>
    <m/>
  </r>
  <r>
    <x v="11"/>
    <s v="Technical College of the Lowcountry"/>
    <n v="217712"/>
    <x v="8"/>
    <n v="45771.450000000004"/>
    <n v="55053"/>
    <n v="34221.450000000004"/>
    <n v="41399"/>
    <n v="985"/>
    <n v="550"/>
    <n v="6715"/>
    <n v="2192"/>
    <n v="1658"/>
    <n v="9662"/>
    <n v="1405"/>
    <n v="2037"/>
    <m/>
    <m/>
    <n v="0"/>
    <n v="0"/>
    <m/>
    <m/>
    <m/>
    <m/>
    <m/>
    <m/>
    <m/>
    <m/>
    <m/>
    <m/>
    <m/>
    <m/>
  </r>
  <r>
    <x v="11"/>
    <s v="University of South Carolina-Lancaster"/>
    <n v="218672"/>
    <x v="8"/>
    <n v="30751"/>
    <n v="31947"/>
    <n v="29988"/>
    <n v="31585"/>
    <n v="763"/>
    <n v="362"/>
    <m/>
    <m/>
    <m/>
    <m/>
    <m/>
    <m/>
    <m/>
    <m/>
    <n v="0"/>
    <n v="0"/>
    <m/>
    <m/>
    <m/>
    <m/>
    <m/>
    <m/>
    <m/>
    <m/>
    <m/>
    <m/>
    <m/>
    <m/>
  </r>
  <r>
    <x v="11"/>
    <s v="University of South Carolina-Salkehatchie"/>
    <n v="218681"/>
    <x v="8"/>
    <n v="18255"/>
    <n v="18664"/>
    <n v="18255"/>
    <n v="18664"/>
    <m/>
    <m/>
    <m/>
    <m/>
    <m/>
    <m/>
    <m/>
    <m/>
    <m/>
    <m/>
    <n v="0"/>
    <n v="0"/>
    <m/>
    <m/>
    <m/>
    <m/>
    <m/>
    <m/>
    <m/>
    <m/>
    <m/>
    <m/>
    <m/>
    <m/>
  </r>
  <r>
    <x v="11"/>
    <s v="University of South Carolina-Sumter"/>
    <n v="218690"/>
    <x v="8"/>
    <n v="26103"/>
    <n v="26074"/>
    <n v="23045"/>
    <n v="22539"/>
    <n v="3058"/>
    <n v="3535"/>
    <m/>
    <m/>
    <m/>
    <m/>
    <m/>
    <m/>
    <m/>
    <m/>
    <n v="0"/>
    <n v="0"/>
    <m/>
    <m/>
    <m/>
    <m/>
    <m/>
    <m/>
    <m/>
    <m/>
    <m/>
    <m/>
    <m/>
    <m/>
  </r>
  <r>
    <x v="11"/>
    <s v="University of South Carolina-Union"/>
    <n v="218706"/>
    <x v="8"/>
    <n v="8037"/>
    <n v="9376"/>
    <n v="6709"/>
    <n v="7870"/>
    <n v="1328"/>
    <n v="1506"/>
    <m/>
    <m/>
    <m/>
    <m/>
    <m/>
    <m/>
    <m/>
    <m/>
    <n v="0"/>
    <n v="0"/>
    <m/>
    <m/>
    <m/>
    <m/>
    <m/>
    <m/>
    <m/>
    <m/>
    <m/>
    <m/>
    <m/>
    <m/>
  </r>
  <r>
    <x v="11"/>
    <s v="Willamsburg Technical College "/>
    <n v="218955"/>
    <x v="8"/>
    <n v="14863.079999999998"/>
    <n v="17014"/>
    <n v="13998.079999999998"/>
    <n v="16224"/>
    <n v="564"/>
    <n v="354"/>
    <n v="232"/>
    <n v="69"/>
    <m/>
    <n v="277"/>
    <m/>
    <m/>
    <m/>
    <m/>
    <n v="0"/>
    <n v="0"/>
    <m/>
    <m/>
    <m/>
    <m/>
    <m/>
    <m/>
    <m/>
    <m/>
    <m/>
    <m/>
    <m/>
    <m/>
  </r>
  <r>
    <x v="11"/>
    <s v="Medical University of South Carolina"/>
    <n v="218335"/>
    <x v="12"/>
    <n v="0"/>
    <n v="0"/>
    <m/>
    <m/>
    <m/>
    <m/>
    <m/>
    <m/>
    <m/>
    <m/>
    <m/>
    <m/>
    <m/>
    <m/>
    <n v="0"/>
    <n v="0"/>
    <m/>
    <m/>
    <m/>
    <m/>
    <m/>
    <m/>
    <m/>
    <m/>
    <m/>
    <m/>
    <m/>
    <m/>
  </r>
  <r>
    <x v="12"/>
    <s v="University of Memphis"/>
    <n v="220862"/>
    <x v="0"/>
    <n v="400979"/>
    <n v="415795"/>
    <n v="350268"/>
    <n v="357670"/>
    <n v="10227"/>
    <n v="9510"/>
    <n v="25522"/>
    <n v="1690"/>
    <n v="10440"/>
    <n v="33853"/>
    <n v="795"/>
    <n v="10879"/>
    <n v="2832"/>
    <n v="3088"/>
    <n v="76532"/>
    <n v="81557"/>
    <n v="55822"/>
    <n v="53213"/>
    <n v="5015"/>
    <n v="9593"/>
    <n v="6513"/>
    <n v="51"/>
    <n v="1662"/>
    <n v="9501"/>
    <n v="150"/>
    <n v="3248"/>
    <n v="7469"/>
    <n v="5852"/>
  </r>
  <r>
    <x v="12"/>
    <s v="University of Tennessee, Knoxville"/>
    <n v="221759"/>
    <x v="0"/>
    <n v="621070"/>
    <n v="614720"/>
    <n v="536731"/>
    <n v="526893"/>
    <n v="325"/>
    <n v="300"/>
    <n v="899"/>
    <n v="601"/>
    <n v="82213"/>
    <n v="637"/>
    <n v="892"/>
    <n v="85998"/>
    <n v="301"/>
    <n v="0"/>
    <n v="122357"/>
    <n v="121122"/>
    <n v="102435"/>
    <n v="100617"/>
    <n v="467"/>
    <n v="1490"/>
    <n v="5870"/>
    <n v="75"/>
    <n v="11855"/>
    <n v="8954"/>
    <n v="72"/>
    <n v="9629"/>
    <n v="1655"/>
    <n v="360"/>
  </r>
  <r>
    <x v="12"/>
    <s v="East Tennessee State University "/>
    <n v="220075"/>
    <x v="2"/>
    <n v="295350"/>
    <n v="309598"/>
    <n v="229165"/>
    <n v="237409"/>
    <n v="12257"/>
    <n v="12553"/>
    <n v="29354"/>
    <n v="7222"/>
    <n v="15449"/>
    <n v="33437"/>
    <n v="9733"/>
    <n v="14475"/>
    <n v="1903"/>
    <n v="1991"/>
    <n v="40064"/>
    <n v="42807"/>
    <n v="23630"/>
    <n v="22533"/>
    <n v="3966"/>
    <n v="4913"/>
    <n v="8135"/>
    <n v="102"/>
    <n v="1622"/>
    <n v="10123"/>
    <n v="359"/>
    <n v="1937"/>
    <n v="2609"/>
    <n v="2942"/>
  </r>
  <r>
    <x v="12"/>
    <s v="Middle Tennessee State University "/>
    <n v="220978"/>
    <x v="2"/>
    <n v="572170"/>
    <n v="592584"/>
    <n v="498587"/>
    <n v="516575"/>
    <n v="9321"/>
    <n v="10076"/>
    <n v="29075"/>
    <n v="7248"/>
    <n v="24005"/>
    <n v="35805"/>
    <n v="2790"/>
    <n v="23077"/>
    <n v="3934"/>
    <n v="4261"/>
    <n v="38342"/>
    <n v="45506"/>
    <n v="27038"/>
    <n v="31523"/>
    <n v="2583"/>
    <n v="2459"/>
    <n v="5425"/>
    <n v="379"/>
    <n v="664"/>
    <n v="7098"/>
    <n v="366"/>
    <n v="1025"/>
    <n v="2253"/>
    <n v="3035"/>
  </r>
  <r>
    <x v="12"/>
    <s v="Tennessee State University "/>
    <n v="221838"/>
    <x v="2"/>
    <n v="182196"/>
    <n v="177784"/>
    <n v="172656"/>
    <n v="163180"/>
    <n v="2498"/>
    <n v="2625"/>
    <n v="6153"/>
    <n v="0"/>
    <n v="560"/>
    <n v="10549"/>
    <n v="318"/>
    <n v="700"/>
    <n v="329"/>
    <n v="412"/>
    <n v="31439"/>
    <n v="32979"/>
    <n v="25449"/>
    <n v="24981"/>
    <n v="1354"/>
    <n v="1682"/>
    <n v="1494"/>
    <n v="0"/>
    <n v="140"/>
    <n v="3256"/>
    <n v="0"/>
    <n v="141"/>
    <n v="3002"/>
    <n v="2919"/>
  </r>
  <r>
    <x v="12"/>
    <s v="Tennessee Technological University "/>
    <n v="221847"/>
    <x v="2"/>
    <n v="224064"/>
    <n v="235979"/>
    <n v="189638"/>
    <n v="205463"/>
    <n v="5895"/>
    <n v="5804"/>
    <n v="15305"/>
    <n v="0"/>
    <n v="10331"/>
    <n v="13663"/>
    <m/>
    <n v="8403"/>
    <n v="2895"/>
    <n v="2646"/>
    <n v="31173"/>
    <n v="29118"/>
    <n v="15646"/>
    <n v="12260"/>
    <n v="3966"/>
    <n v="1629"/>
    <n v="8135"/>
    <n v="102"/>
    <n v="1622"/>
    <n v="10746"/>
    <n v="0"/>
    <n v="1516"/>
    <n v="1702"/>
    <n v="2967"/>
  </r>
  <r>
    <x v="12"/>
    <s v="University of Tennessee at Chattanooga"/>
    <n v="221740"/>
    <x v="2"/>
    <n v="226572"/>
    <n v="240192"/>
    <n v="216653"/>
    <n v="229957"/>
    <n v="5105"/>
    <n v="4310"/>
    <n v="3120"/>
    <n v="0"/>
    <n v="154"/>
    <n v="4405"/>
    <n v="0"/>
    <n v="105"/>
    <n v="1540"/>
    <n v="1415"/>
    <n v="25865"/>
    <n v="26863"/>
    <n v="18882"/>
    <n v="19384"/>
    <n v="2765"/>
    <n v="2399"/>
    <n v="2317"/>
    <n v="318"/>
    <n v="0"/>
    <n v="2855"/>
    <n v="304"/>
    <n v="2"/>
    <n v="1583"/>
    <n v="1919"/>
  </r>
  <r>
    <x v="12"/>
    <s v="Austin Peay State University "/>
    <n v="219602"/>
    <x v="3"/>
    <n v="217042"/>
    <n v="222816"/>
    <n v="159057"/>
    <n v="162477"/>
    <n v="21"/>
    <n v="1412"/>
    <n v="55703"/>
    <n v="39"/>
    <n v="1072"/>
    <n v="55784"/>
    <n v="0"/>
    <n v="2263"/>
    <n v="1150"/>
    <n v="880"/>
    <n v="13409"/>
    <n v="13533"/>
    <n v="6314"/>
    <n v="5492"/>
    <n v="55"/>
    <n v="532"/>
    <n v="6932"/>
    <n v="0"/>
    <n v="0"/>
    <n v="7189"/>
    <n v="0"/>
    <n v="1"/>
    <n v="108"/>
    <n v="319"/>
  </r>
  <r>
    <x v="12"/>
    <s v="University of Tennessee at Martin"/>
    <n v="221768"/>
    <x v="4"/>
    <n v="184664"/>
    <n v="193747"/>
    <n v="174088"/>
    <n v="181964"/>
    <n v="2632"/>
    <n v="2111"/>
    <n v="6556"/>
    <n v="1143"/>
    <n v="48"/>
    <n v="7473"/>
    <n v="1989"/>
    <n v="21"/>
    <n v="197"/>
    <n v="189"/>
    <n v="6274"/>
    <n v="7808"/>
    <n v="2198"/>
    <n v="2527"/>
    <n v="180"/>
    <n v="61"/>
    <n v="3337"/>
    <n v="559"/>
    <n v="0"/>
    <n v="5093"/>
    <n v="111"/>
    <n v="0"/>
    <n v="0"/>
    <n v="16"/>
  </r>
  <r>
    <x v="12"/>
    <s v="Chattanooga State Technical Community College "/>
    <n v="219824"/>
    <x v="6"/>
    <n v="160490"/>
    <n v="182926"/>
    <n v="126914"/>
    <n v="134909"/>
    <n v="1848"/>
    <n v="1697"/>
    <n v="23775"/>
    <n v="0"/>
    <n v="7562"/>
    <n v="32283"/>
    <n v="0"/>
    <n v="13773"/>
    <n v="391"/>
    <n v="264"/>
    <n v="0"/>
    <n v="0"/>
    <m/>
    <m/>
    <m/>
    <m/>
    <m/>
    <m/>
    <m/>
    <m/>
    <m/>
    <m/>
    <m/>
    <m/>
  </r>
  <r>
    <x v="12"/>
    <s v="Pellissippi State Technical Community College"/>
    <n v="221643"/>
    <x v="6"/>
    <n v="182675"/>
    <n v="202757"/>
    <n v="154692"/>
    <n v="170920"/>
    <n v="181"/>
    <n v="652"/>
    <n v="24025"/>
    <n v="1305"/>
    <n v="2355"/>
    <n v="25712"/>
    <n v="1055"/>
    <n v="4145"/>
    <n v="117"/>
    <n v="273"/>
    <n v="0"/>
    <n v="0"/>
    <m/>
    <m/>
    <m/>
    <m/>
    <m/>
    <m/>
    <m/>
    <m/>
    <m/>
    <m/>
    <m/>
    <m/>
  </r>
  <r>
    <x v="12"/>
    <s v="Southwest Tennessee Community College"/>
    <n v="221485"/>
    <x v="6"/>
    <n v="234454"/>
    <n v="267602"/>
    <n v="207313"/>
    <n v="226729"/>
    <n v="3133"/>
    <n v="3754"/>
    <n v="17860"/>
    <n v="4125"/>
    <n v="1907"/>
    <n v="22478"/>
    <n v="4020"/>
    <n v="10528"/>
    <n v="116"/>
    <n v="93"/>
    <n v="0"/>
    <n v="0"/>
    <m/>
    <m/>
    <m/>
    <m/>
    <m/>
    <m/>
    <m/>
    <m/>
    <m/>
    <m/>
    <m/>
    <m/>
  </r>
  <r>
    <x v="12"/>
    <s v="Cleveland State Community College "/>
    <n v="219879"/>
    <x v="7"/>
    <n v="66225"/>
    <n v="73904"/>
    <n v="51277"/>
    <n v="55102"/>
    <n v="462"/>
    <n v="3910"/>
    <n v="7007"/>
    <n v="2001"/>
    <n v="3060"/>
    <n v="8576"/>
    <n v="2047"/>
    <n v="2691"/>
    <n v="2418"/>
    <n v="1578"/>
    <n v="0"/>
    <n v="0"/>
    <m/>
    <m/>
    <m/>
    <m/>
    <m/>
    <m/>
    <m/>
    <m/>
    <m/>
    <m/>
    <m/>
    <m/>
  </r>
  <r>
    <x v="12"/>
    <s v="Columbia State Community College "/>
    <n v="219888"/>
    <x v="7"/>
    <n v="95795"/>
    <n v="105321"/>
    <n v="70516"/>
    <n v="78204"/>
    <n v="2905"/>
    <n v="524"/>
    <n v="10543"/>
    <n v="5955"/>
    <n v="5751"/>
    <n v="13213"/>
    <n v="6700"/>
    <n v="6573"/>
    <n v="125"/>
    <n v="107"/>
    <n v="0"/>
    <n v="0"/>
    <m/>
    <m/>
    <m/>
    <m/>
    <m/>
    <m/>
    <m/>
    <m/>
    <m/>
    <m/>
    <m/>
    <m/>
  </r>
  <r>
    <x v="12"/>
    <s v="Jackson State Community College "/>
    <n v="220400"/>
    <x v="7"/>
    <n v="92273"/>
    <n v="102180"/>
    <n v="67603"/>
    <n v="63861"/>
    <n v="4286"/>
    <n v="1529"/>
    <n v="11356"/>
    <n v="821"/>
    <n v="8191"/>
    <n v="21546"/>
    <n v="1586"/>
    <n v="13623"/>
    <n v="16"/>
    <n v="35"/>
    <n v="0"/>
    <n v="0"/>
    <m/>
    <m/>
    <m/>
    <m/>
    <m/>
    <m/>
    <m/>
    <m/>
    <m/>
    <m/>
    <m/>
    <m/>
  </r>
  <r>
    <x v="12"/>
    <s v="Motlow State Community College "/>
    <n v="221096"/>
    <x v="7"/>
    <n v="89277"/>
    <n v="99612"/>
    <n v="72739"/>
    <n v="80499"/>
    <n v="120"/>
    <n v="14"/>
    <n v="11955"/>
    <n v="4165"/>
    <n v="146"/>
    <n v="13303"/>
    <n v="5611"/>
    <n v="0"/>
    <n v="152"/>
    <n v="185"/>
    <n v="0"/>
    <n v="0"/>
    <m/>
    <m/>
    <m/>
    <m/>
    <m/>
    <m/>
    <m/>
    <m/>
    <m/>
    <m/>
    <m/>
    <m/>
  </r>
  <r>
    <x v="12"/>
    <s v="Nashville State Technical Community College"/>
    <n v="221184"/>
    <x v="7"/>
    <n v="139748"/>
    <n v="165167"/>
    <n v="111499"/>
    <n v="129915"/>
    <n v="467"/>
    <n v="87"/>
    <n v="26050"/>
    <n v="0"/>
    <n v="1703"/>
    <n v="33442"/>
    <n v="0"/>
    <n v="1698"/>
    <n v="29"/>
    <n v="25"/>
    <n v="0"/>
    <n v="0"/>
    <m/>
    <m/>
    <m/>
    <m/>
    <m/>
    <m/>
    <m/>
    <m/>
    <m/>
    <m/>
    <m/>
    <m/>
  </r>
  <r>
    <x v="12"/>
    <s v="Northeast State Technical Community College"/>
    <n v="221908"/>
    <x v="7"/>
    <n v="111313"/>
    <n v="127736"/>
    <n v="93237"/>
    <n v="105256"/>
    <n v="423"/>
    <n v="1688"/>
    <n v="6593"/>
    <n v="2731"/>
    <n v="8306"/>
    <n v="6531"/>
    <n v="3219"/>
    <n v="10996"/>
    <n v="23"/>
    <n v="46"/>
    <n v="0"/>
    <n v="0"/>
    <m/>
    <m/>
    <m/>
    <m/>
    <m/>
    <m/>
    <m/>
    <m/>
    <m/>
    <m/>
    <m/>
    <m/>
  </r>
  <r>
    <x v="12"/>
    <s v="Roane State Community College "/>
    <n v="221397"/>
    <x v="7"/>
    <n v="113875"/>
    <n v="124148"/>
    <n v="87729"/>
    <n v="92637"/>
    <n v="1518"/>
    <n v="1844"/>
    <n v="16851"/>
    <n v="6173"/>
    <n v="1530"/>
    <n v="19927"/>
    <n v="7496"/>
    <n v="2159"/>
    <n v="74"/>
    <n v="85"/>
    <n v="0"/>
    <n v="0"/>
    <m/>
    <m/>
    <m/>
    <m/>
    <m/>
    <m/>
    <m/>
    <m/>
    <m/>
    <m/>
    <m/>
    <m/>
  </r>
  <r>
    <x v="12"/>
    <s v="Volunteer State Community College "/>
    <n v="222053"/>
    <x v="7"/>
    <n v="143504"/>
    <n v="165237"/>
    <n v="106135"/>
    <n v="119517"/>
    <n v="3764"/>
    <n v="6508"/>
    <n v="23153"/>
    <n v="679"/>
    <n v="9537"/>
    <n v="31168"/>
    <n v="743"/>
    <n v="7055"/>
    <n v="236"/>
    <n v="246"/>
    <n v="0"/>
    <n v="0"/>
    <m/>
    <m/>
    <m/>
    <m/>
    <m/>
    <m/>
    <m/>
    <m/>
    <m/>
    <m/>
    <m/>
    <m/>
  </r>
  <r>
    <x v="12"/>
    <s v="Walters State Community College "/>
    <n v="222062"/>
    <x v="7"/>
    <n v="124785"/>
    <n v="140252"/>
    <n v="95276"/>
    <n v="106090"/>
    <n v="2081"/>
    <n v="781"/>
    <n v="13781"/>
    <n v="5365"/>
    <n v="8254"/>
    <n v="13654"/>
    <n v="7083"/>
    <n v="12636"/>
    <n v="28"/>
    <n v="8"/>
    <n v="0"/>
    <n v="0"/>
    <m/>
    <m/>
    <m/>
    <m/>
    <m/>
    <m/>
    <m/>
    <m/>
    <m/>
    <m/>
    <m/>
    <m/>
  </r>
  <r>
    <x v="12"/>
    <s v="Dyersburg State Community College "/>
    <n v="220057"/>
    <x v="8"/>
    <n v="51542"/>
    <n v="61785"/>
    <n v="39935"/>
    <n v="49145"/>
    <n v="54"/>
    <n v="476"/>
    <n v="7381"/>
    <n v="222"/>
    <n v="3686"/>
    <n v="5962"/>
    <n v="21"/>
    <n v="5959"/>
    <n v="264"/>
    <n v="222"/>
    <n v="0"/>
    <n v="0"/>
    <m/>
    <m/>
    <m/>
    <m/>
    <m/>
    <m/>
    <m/>
    <m/>
    <m/>
    <m/>
    <m/>
    <m/>
  </r>
  <r>
    <x v="12"/>
    <s v="Tennessee Technology Center at Athens"/>
    <n v="219596"/>
    <x v="10"/>
    <n v="254328"/>
    <n v="265960"/>
    <n v="254328"/>
    <n v="265960"/>
    <m/>
    <m/>
    <m/>
    <m/>
    <m/>
    <m/>
    <m/>
    <m/>
    <m/>
    <m/>
    <n v="0"/>
    <n v="0"/>
    <m/>
    <m/>
    <m/>
    <m/>
    <m/>
    <m/>
    <m/>
    <m/>
    <m/>
    <m/>
    <m/>
    <m/>
  </r>
  <r>
    <x v="12"/>
    <s v="Tennessee Technology Center at Chattanooga"/>
    <s v="219824B"/>
    <x v="10"/>
    <n v="796409"/>
    <n v="930245"/>
    <n v="796409"/>
    <n v="930245"/>
    <m/>
    <m/>
    <m/>
    <m/>
    <m/>
    <m/>
    <m/>
    <m/>
    <m/>
    <m/>
    <n v="0"/>
    <n v="0"/>
    <m/>
    <m/>
    <m/>
    <m/>
    <m/>
    <m/>
    <m/>
    <m/>
    <m/>
    <m/>
    <m/>
    <m/>
  </r>
  <r>
    <x v="12"/>
    <s v="Tennessee Technology Center at Covington"/>
    <n v="219921"/>
    <x v="10"/>
    <n v="161279"/>
    <n v="189725"/>
    <n v="161279"/>
    <n v="189725"/>
    <m/>
    <m/>
    <m/>
    <m/>
    <m/>
    <m/>
    <m/>
    <m/>
    <m/>
    <m/>
    <n v="0"/>
    <n v="0"/>
    <m/>
    <m/>
    <m/>
    <m/>
    <m/>
    <m/>
    <m/>
    <m/>
    <m/>
    <m/>
    <m/>
    <m/>
  </r>
  <r>
    <x v="12"/>
    <s v="Tennessee Technology Center at Crossville"/>
    <n v="221591"/>
    <x v="10"/>
    <n v="334985"/>
    <n v="429175"/>
    <n v="334985"/>
    <n v="429175"/>
    <m/>
    <m/>
    <m/>
    <m/>
    <m/>
    <m/>
    <m/>
    <m/>
    <m/>
    <m/>
    <n v="0"/>
    <n v="0"/>
    <m/>
    <m/>
    <m/>
    <m/>
    <m/>
    <m/>
    <m/>
    <m/>
    <m/>
    <m/>
    <m/>
    <m/>
  </r>
  <r>
    <x v="12"/>
    <s v="Tennessee Technology Center at Crump"/>
    <n v="221430"/>
    <x v="10"/>
    <n v="232332"/>
    <n v="270260"/>
    <n v="232332"/>
    <n v="270260"/>
    <m/>
    <m/>
    <m/>
    <m/>
    <m/>
    <m/>
    <m/>
    <m/>
    <m/>
    <m/>
    <n v="0"/>
    <n v="0"/>
    <m/>
    <m/>
    <m/>
    <m/>
    <m/>
    <m/>
    <m/>
    <m/>
    <m/>
    <m/>
    <m/>
    <m/>
  </r>
  <r>
    <x v="12"/>
    <s v="Tennessee Technology Center at Dickson"/>
    <n v="219994"/>
    <x v="10"/>
    <n v="455012"/>
    <n v="522444"/>
    <n v="455012"/>
    <n v="522444"/>
    <m/>
    <m/>
    <m/>
    <m/>
    <m/>
    <m/>
    <m/>
    <m/>
    <m/>
    <m/>
    <n v="0"/>
    <n v="0"/>
    <m/>
    <m/>
    <m/>
    <m/>
    <m/>
    <m/>
    <m/>
    <m/>
    <m/>
    <m/>
    <m/>
    <m/>
  </r>
  <r>
    <x v="12"/>
    <s v="Tennessee Technology Center at Elizabethton"/>
    <n v="220127"/>
    <x v="10"/>
    <n v="469991"/>
    <n v="499957"/>
    <n v="469991"/>
    <n v="499957"/>
    <m/>
    <m/>
    <m/>
    <m/>
    <m/>
    <m/>
    <m/>
    <m/>
    <m/>
    <m/>
    <n v="0"/>
    <n v="0"/>
    <m/>
    <m/>
    <m/>
    <m/>
    <m/>
    <m/>
    <m/>
    <m/>
    <m/>
    <m/>
    <m/>
    <m/>
  </r>
  <r>
    <x v="12"/>
    <s v="Tennessee Technology Center at Harriman"/>
    <n v="220251"/>
    <x v="10"/>
    <n v="224374"/>
    <n v="294989"/>
    <n v="224374"/>
    <n v="294989"/>
    <m/>
    <m/>
    <m/>
    <m/>
    <m/>
    <m/>
    <m/>
    <m/>
    <m/>
    <m/>
    <n v="0"/>
    <n v="0"/>
    <m/>
    <m/>
    <m/>
    <m/>
    <m/>
    <m/>
    <m/>
    <m/>
    <m/>
    <m/>
    <m/>
    <m/>
  </r>
  <r>
    <x v="12"/>
    <s v="Tennessee Technology Center at Hartsville"/>
    <n v="220279"/>
    <x v="10"/>
    <n v="267815"/>
    <n v="383343"/>
    <n v="267815"/>
    <n v="383343"/>
    <m/>
    <m/>
    <m/>
    <m/>
    <m/>
    <m/>
    <m/>
    <m/>
    <m/>
    <m/>
    <n v="0"/>
    <n v="0"/>
    <m/>
    <m/>
    <m/>
    <m/>
    <m/>
    <m/>
    <m/>
    <m/>
    <m/>
    <m/>
    <m/>
    <m/>
  </r>
  <r>
    <x v="12"/>
    <s v="Tennessee Technology Center at Hohenwald"/>
    <n v="220321"/>
    <x v="10"/>
    <n v="378894"/>
    <n v="442185"/>
    <n v="378894"/>
    <n v="442185"/>
    <m/>
    <m/>
    <m/>
    <m/>
    <m/>
    <m/>
    <m/>
    <m/>
    <m/>
    <m/>
    <n v="0"/>
    <n v="0"/>
    <m/>
    <m/>
    <m/>
    <m/>
    <m/>
    <m/>
    <m/>
    <m/>
    <m/>
    <m/>
    <m/>
    <m/>
  </r>
  <r>
    <x v="12"/>
    <s v="Tennessee Technology Center at Jacksboro"/>
    <n v="220394"/>
    <x v="10"/>
    <n v="157941"/>
    <n v="203208"/>
    <n v="157941"/>
    <n v="203208"/>
    <m/>
    <m/>
    <m/>
    <m/>
    <m/>
    <m/>
    <m/>
    <m/>
    <m/>
    <m/>
    <n v="0"/>
    <n v="0"/>
    <m/>
    <m/>
    <m/>
    <m/>
    <m/>
    <m/>
    <m/>
    <m/>
    <m/>
    <m/>
    <m/>
    <m/>
  </r>
  <r>
    <x v="12"/>
    <s v="Tennessee Technology Center at Jackson"/>
    <n v="221616"/>
    <x v="10"/>
    <n v="531995"/>
    <n v="617038"/>
    <n v="531995"/>
    <n v="617038"/>
    <m/>
    <m/>
    <m/>
    <m/>
    <m/>
    <m/>
    <m/>
    <m/>
    <m/>
    <m/>
    <n v="0"/>
    <n v="0"/>
    <m/>
    <m/>
    <m/>
    <m/>
    <m/>
    <m/>
    <m/>
    <m/>
    <m/>
    <m/>
    <m/>
    <m/>
  </r>
  <r>
    <x v="12"/>
    <s v="Tennessee Technology Center at Knoxville"/>
    <n v="221625"/>
    <x v="10"/>
    <n v="597906"/>
    <n v="689994"/>
    <n v="597906"/>
    <n v="689994"/>
    <m/>
    <m/>
    <m/>
    <m/>
    <m/>
    <m/>
    <m/>
    <m/>
    <m/>
    <m/>
    <n v="0"/>
    <n v="0"/>
    <m/>
    <m/>
    <m/>
    <m/>
    <m/>
    <m/>
    <m/>
    <m/>
    <m/>
    <m/>
    <m/>
    <m/>
  </r>
  <r>
    <x v="12"/>
    <s v="Tennessee Technology Center at Livingston"/>
    <n v="220640"/>
    <x v="10"/>
    <n v="424853"/>
    <n v="432806"/>
    <n v="424853"/>
    <n v="432806"/>
    <m/>
    <m/>
    <m/>
    <m/>
    <m/>
    <m/>
    <m/>
    <m/>
    <m/>
    <m/>
    <n v="0"/>
    <n v="0"/>
    <m/>
    <m/>
    <m/>
    <m/>
    <m/>
    <m/>
    <m/>
    <m/>
    <m/>
    <m/>
    <m/>
    <m/>
  </r>
  <r>
    <x v="12"/>
    <s v="Tennessee Technology Center at McKenzie"/>
    <n v="220756"/>
    <x v="10"/>
    <n v="255342"/>
    <n v="300489"/>
    <n v="255342"/>
    <n v="300489"/>
    <m/>
    <m/>
    <m/>
    <m/>
    <m/>
    <m/>
    <m/>
    <m/>
    <m/>
    <m/>
    <n v="0"/>
    <n v="0"/>
    <m/>
    <m/>
    <m/>
    <m/>
    <m/>
    <m/>
    <m/>
    <m/>
    <m/>
    <m/>
    <m/>
    <m/>
  </r>
  <r>
    <x v="12"/>
    <s v="Tennessee Technology Center at McMinnville"/>
    <n v="221607"/>
    <x v="10"/>
    <n v="232095"/>
    <n v="303262"/>
    <n v="232095"/>
    <n v="303262"/>
    <m/>
    <m/>
    <m/>
    <m/>
    <m/>
    <m/>
    <m/>
    <m/>
    <m/>
    <m/>
    <n v="0"/>
    <n v="0"/>
    <m/>
    <m/>
    <m/>
    <m/>
    <m/>
    <m/>
    <m/>
    <m/>
    <m/>
    <m/>
    <m/>
    <m/>
  </r>
  <r>
    <x v="12"/>
    <s v="Tennessee Technology Center at Memphis"/>
    <n v="220853"/>
    <x v="10"/>
    <n v="728134"/>
    <n v="735462"/>
    <n v="728134"/>
    <n v="735462"/>
    <m/>
    <m/>
    <m/>
    <m/>
    <m/>
    <m/>
    <m/>
    <m/>
    <m/>
    <m/>
    <n v="0"/>
    <n v="0"/>
    <m/>
    <m/>
    <m/>
    <m/>
    <m/>
    <m/>
    <m/>
    <m/>
    <m/>
    <m/>
    <m/>
    <m/>
  </r>
  <r>
    <x v="12"/>
    <s v="Tennessee Technology Center at Morristown"/>
    <n v="221050"/>
    <x v="10"/>
    <n v="552425"/>
    <n v="634754"/>
    <n v="552425"/>
    <n v="634754"/>
    <m/>
    <m/>
    <m/>
    <m/>
    <m/>
    <m/>
    <m/>
    <m/>
    <m/>
    <m/>
    <n v="0"/>
    <n v="0"/>
    <m/>
    <m/>
    <m/>
    <m/>
    <m/>
    <m/>
    <m/>
    <m/>
    <m/>
    <m/>
    <m/>
    <m/>
  </r>
  <r>
    <x v="12"/>
    <s v="Tennessee Technology Center at Murfreesboro"/>
    <n v="221102"/>
    <x v="10"/>
    <n v="400942"/>
    <n v="433419"/>
    <n v="400942"/>
    <n v="433419"/>
    <m/>
    <m/>
    <m/>
    <m/>
    <m/>
    <m/>
    <m/>
    <m/>
    <m/>
    <m/>
    <n v="0"/>
    <n v="0"/>
    <m/>
    <m/>
    <m/>
    <m/>
    <m/>
    <m/>
    <m/>
    <m/>
    <m/>
    <m/>
    <m/>
    <m/>
  </r>
  <r>
    <x v="12"/>
    <s v="Tennessee Technology Center at Nashville"/>
    <n v="248925"/>
    <x v="10"/>
    <n v="641647"/>
    <n v="660841"/>
    <n v="641647"/>
    <n v="660841"/>
    <m/>
    <m/>
    <m/>
    <m/>
    <m/>
    <m/>
    <m/>
    <m/>
    <m/>
    <m/>
    <n v="0"/>
    <n v="0"/>
    <m/>
    <m/>
    <m/>
    <m/>
    <m/>
    <m/>
    <m/>
    <m/>
    <m/>
    <m/>
    <m/>
    <m/>
  </r>
  <r>
    <x v="12"/>
    <s v="Tennessee Technology Center at Newbern"/>
    <n v="221236"/>
    <x v="10"/>
    <n v="201750"/>
    <n v="275708"/>
    <n v="201750"/>
    <n v="275708"/>
    <m/>
    <m/>
    <m/>
    <m/>
    <m/>
    <m/>
    <m/>
    <m/>
    <m/>
    <m/>
    <n v="0"/>
    <n v="0"/>
    <m/>
    <m/>
    <m/>
    <m/>
    <m/>
    <m/>
    <m/>
    <m/>
    <m/>
    <m/>
    <m/>
    <m/>
  </r>
  <r>
    <x v="12"/>
    <s v="Tennessee Technology Center at Oneida"/>
    <n v="221582"/>
    <x v="10"/>
    <n v="239241"/>
    <n v="300534"/>
    <n v="239241"/>
    <n v="300534"/>
    <m/>
    <m/>
    <m/>
    <m/>
    <m/>
    <m/>
    <m/>
    <m/>
    <m/>
    <m/>
    <n v="0"/>
    <n v="0"/>
    <m/>
    <m/>
    <m/>
    <m/>
    <m/>
    <m/>
    <m/>
    <m/>
    <m/>
    <m/>
    <m/>
    <m/>
  </r>
  <r>
    <x v="12"/>
    <s v="Tennessee Technology Center at Paris"/>
    <n v="221281"/>
    <x v="10"/>
    <n v="331689"/>
    <n v="345687"/>
    <n v="331689"/>
    <n v="345687"/>
    <m/>
    <m/>
    <m/>
    <m/>
    <m/>
    <m/>
    <m/>
    <m/>
    <m/>
    <m/>
    <n v="0"/>
    <n v="0"/>
    <m/>
    <m/>
    <m/>
    <m/>
    <m/>
    <m/>
    <m/>
    <m/>
    <m/>
    <m/>
    <m/>
    <m/>
  </r>
  <r>
    <x v="12"/>
    <s v="Tennessee Technology Center at Pulaski"/>
    <n v="221333"/>
    <x v="10"/>
    <n v="269782"/>
    <n v="425190"/>
    <n v="269782"/>
    <n v="425190"/>
    <m/>
    <m/>
    <m/>
    <m/>
    <m/>
    <m/>
    <m/>
    <m/>
    <m/>
    <m/>
    <n v="0"/>
    <n v="0"/>
    <m/>
    <m/>
    <m/>
    <m/>
    <m/>
    <m/>
    <m/>
    <m/>
    <m/>
    <m/>
    <m/>
    <m/>
  </r>
  <r>
    <x v="12"/>
    <s v="Tennessee Technology Center at Ripley"/>
    <n v="221388"/>
    <x v="10"/>
    <n v="159885"/>
    <n v="204305"/>
    <n v="159885"/>
    <n v="204305"/>
    <m/>
    <m/>
    <m/>
    <m/>
    <m/>
    <m/>
    <m/>
    <m/>
    <m/>
    <m/>
    <n v="0"/>
    <n v="0"/>
    <m/>
    <m/>
    <m/>
    <m/>
    <m/>
    <m/>
    <m/>
    <m/>
    <m/>
    <m/>
    <m/>
    <m/>
  </r>
  <r>
    <x v="12"/>
    <s v="Tennessee Technology Center at Shelbyville"/>
    <n v="221494"/>
    <x v="10"/>
    <n v="465230"/>
    <n v="572290"/>
    <n v="465230"/>
    <n v="572290"/>
    <m/>
    <m/>
    <m/>
    <m/>
    <m/>
    <m/>
    <m/>
    <m/>
    <m/>
    <m/>
    <n v="0"/>
    <n v="0"/>
    <m/>
    <m/>
    <m/>
    <m/>
    <m/>
    <m/>
    <m/>
    <m/>
    <m/>
    <m/>
    <m/>
    <m/>
  </r>
  <r>
    <x v="12"/>
    <s v="Tennessee Technology Center at Whiteville"/>
    <n v="221634"/>
    <x v="10"/>
    <n v="167254"/>
    <n v="190029"/>
    <n v="167254"/>
    <n v="190029"/>
    <m/>
    <m/>
    <m/>
    <m/>
    <m/>
    <m/>
    <m/>
    <m/>
    <m/>
    <m/>
    <n v="0"/>
    <n v="0"/>
    <m/>
    <m/>
    <m/>
    <m/>
    <m/>
    <m/>
    <m/>
    <m/>
    <m/>
    <m/>
    <m/>
    <m/>
  </r>
  <r>
    <x v="12"/>
    <s v="University of Tennessee Health Science Center"/>
    <n v="221704"/>
    <x v="12"/>
    <n v="0"/>
    <n v="0"/>
    <m/>
    <m/>
    <m/>
    <m/>
    <m/>
    <m/>
    <m/>
    <m/>
    <m/>
    <m/>
    <m/>
    <m/>
    <n v="0"/>
    <n v="0"/>
    <m/>
    <m/>
    <m/>
    <m/>
    <m/>
    <m/>
    <m/>
    <m/>
    <m/>
    <m/>
    <m/>
    <m/>
  </r>
  <r>
    <x v="13"/>
    <s v="Texas A &amp; M University "/>
    <n v="228723"/>
    <x v="0"/>
    <n v="1057860"/>
    <n v="1062336"/>
    <n v="1026059"/>
    <n v="1025839"/>
    <n v="5370"/>
    <n v="4612"/>
    <n v="25153"/>
    <n v="0"/>
    <n v="1278"/>
    <n v="31510"/>
    <n v="0"/>
    <n v="375"/>
    <m/>
    <m/>
    <n v="167925"/>
    <n v="173168"/>
    <n v="153221"/>
    <n v="157828"/>
    <n v="3055"/>
    <n v="2739"/>
    <n v="11349"/>
    <n v="159"/>
    <n v="141"/>
    <n v="11692"/>
    <n v="525"/>
    <n v="384"/>
    <m/>
    <m/>
  </r>
  <r>
    <x v="13"/>
    <s v="Texas Tech University "/>
    <n v="229115"/>
    <x v="0"/>
    <n v="650375"/>
    <n v="648835"/>
    <n v="614182"/>
    <n v="631272"/>
    <n v="5432"/>
    <n v="6079"/>
    <n v="9269"/>
    <n v="201"/>
    <n v="21291"/>
    <n v="11484"/>
    <n v="0"/>
    <n v="0"/>
    <m/>
    <m/>
    <n v="105780"/>
    <n v="109769"/>
    <n v="93295"/>
    <n v="98506"/>
    <n v="1253"/>
    <n v="2164"/>
    <n v="7775"/>
    <n v="1343"/>
    <n v="2114"/>
    <n v="9076"/>
    <n v="15"/>
    <n v="8"/>
    <m/>
    <m/>
  </r>
  <r>
    <x v="13"/>
    <s v="University of Houston"/>
    <n v="225511"/>
    <x v="0"/>
    <n v="690189"/>
    <n v="707195"/>
    <n v="580452"/>
    <n v="583885"/>
    <n v="3882"/>
    <n v="4505"/>
    <n v="54243"/>
    <n v="291"/>
    <n v="51321"/>
    <n v="80300"/>
    <n v="261"/>
    <n v="38244"/>
    <m/>
    <m/>
    <n v="161647"/>
    <n v="168234"/>
    <n v="154499"/>
    <n v="159375"/>
    <n v="1334"/>
    <n v="1128"/>
    <n v="5013"/>
    <n v="21"/>
    <n v="780"/>
    <n v="6885"/>
    <n v="93"/>
    <n v="753"/>
    <m/>
    <m/>
  </r>
  <r>
    <x v="13"/>
    <s v="University of North Texas"/>
    <n v="227216"/>
    <x v="0"/>
    <n v="736053"/>
    <n v="736441"/>
    <n v="649614"/>
    <n v="652966"/>
    <n v="25770"/>
    <n v="17454"/>
    <n v="60404"/>
    <n v="156"/>
    <n v="109"/>
    <n v="65749"/>
    <n v="157"/>
    <n v="115"/>
    <m/>
    <m/>
    <n v="101838"/>
    <n v="105965"/>
    <n v="63146"/>
    <n v="67071"/>
    <n v="9107"/>
    <n v="6587"/>
    <n v="29167"/>
    <n v="297"/>
    <n v="121"/>
    <n v="31824"/>
    <n v="384"/>
    <n v="99"/>
    <m/>
    <m/>
  </r>
  <r>
    <x v="13"/>
    <s v="University of Texas at Arlington"/>
    <n v="228769"/>
    <x v="0"/>
    <n v="465531"/>
    <n v="492163"/>
    <n v="445525"/>
    <n v="454951"/>
    <n v="3731"/>
    <n v="3364"/>
    <n v="13923"/>
    <n v="342"/>
    <n v="2010"/>
    <n v="29762"/>
    <n v="192"/>
    <n v="3894"/>
    <m/>
    <m/>
    <n v="97180"/>
    <n v="101836"/>
    <n v="79623"/>
    <n v="80999"/>
    <n v="8022"/>
    <n v="10187"/>
    <n v="8890"/>
    <n v="252"/>
    <n v="393"/>
    <n v="9942"/>
    <n v="210"/>
    <n v="498"/>
    <m/>
    <m/>
  </r>
  <r>
    <x v="13"/>
    <s v="University of Texas at Austin"/>
    <n v="228778"/>
    <x v="0"/>
    <n v="1023600"/>
    <n v="1028906"/>
    <n v="1019566"/>
    <n v="1024600"/>
    <n v="4034"/>
    <n v="4306"/>
    <n v="0"/>
    <n v="0"/>
    <n v="0"/>
    <n v="0"/>
    <n v="0"/>
    <n v="0"/>
    <m/>
    <m/>
    <n v="262037"/>
    <n v="265480"/>
    <n v="261741"/>
    <n v="264575"/>
    <n v="296"/>
    <n v="905"/>
    <n v="0"/>
    <n v="0"/>
    <n v="0"/>
    <n v="0"/>
    <n v="0"/>
    <n v="0"/>
    <m/>
    <m/>
  </r>
  <r>
    <x v="13"/>
    <s v="University of Texas at Dallas"/>
    <n v="228787"/>
    <x v="0"/>
    <n v="243047"/>
    <n v="252709"/>
    <n v="241380"/>
    <n v="249794"/>
    <n v="325"/>
    <n v="343"/>
    <n v="1342"/>
    <n v="0"/>
    <n v="0"/>
    <n v="2572"/>
    <n v="0"/>
    <n v="0"/>
    <m/>
    <m/>
    <n v="95174"/>
    <n v="99379"/>
    <n v="82954"/>
    <n v="87327"/>
    <n v="465"/>
    <n v="235"/>
    <n v="11755"/>
    <n v="0"/>
    <n v="0"/>
    <n v="11814"/>
    <n v="0"/>
    <n v="3"/>
    <m/>
    <m/>
  </r>
  <r>
    <x v="13"/>
    <s v="Texas Woman's University"/>
    <n v="229179"/>
    <x v="1"/>
    <n v="189280"/>
    <n v="196582"/>
    <n v="149696"/>
    <n v="152257"/>
    <n v="1932"/>
    <n v="2717"/>
    <n v="37652"/>
    <n v="0"/>
    <n v="0"/>
    <n v="41608"/>
    <n v="0"/>
    <n v="0"/>
    <m/>
    <m/>
    <n v="87426"/>
    <n v="91903"/>
    <n v="46769"/>
    <n v="47991"/>
    <n v="1779"/>
    <n v="1878"/>
    <n v="38145"/>
    <n v="733"/>
    <n v="0"/>
    <n v="41173"/>
    <n v="861"/>
    <n v="0"/>
    <m/>
    <m/>
  </r>
  <r>
    <x v="13"/>
    <s v="University of Texas at El Paso"/>
    <n v="228796"/>
    <x v="1"/>
    <n v="406988"/>
    <n v="414285"/>
    <n v="394361"/>
    <n v="400523"/>
    <n v="4465"/>
    <n v="3406"/>
    <n v="8162"/>
    <n v="0"/>
    <n v="0"/>
    <n v="10356"/>
    <n v="0"/>
    <n v="0"/>
    <m/>
    <m/>
    <n v="50383"/>
    <n v="55891"/>
    <n v="43667"/>
    <n v="43134"/>
    <n v="1643"/>
    <n v="3870"/>
    <n v="5073"/>
    <n v="0"/>
    <n v="0"/>
    <n v="8887"/>
    <n v="0"/>
    <n v="0"/>
    <m/>
    <m/>
  </r>
  <r>
    <x v="13"/>
    <s v="University of Texas at San Antonio"/>
    <n v="229027"/>
    <x v="1"/>
    <n v="606965"/>
    <n v="610982"/>
    <n v="587753"/>
    <n v="593018"/>
    <n v="2881"/>
    <n v="3014"/>
    <n v="12044"/>
    <n v="4287"/>
    <n v="0"/>
    <n v="10822"/>
    <n v="4128"/>
    <n v="0"/>
    <m/>
    <m/>
    <n v="52808"/>
    <n v="54987"/>
    <n v="51552"/>
    <n v="53316"/>
    <n v="510"/>
    <n v="741"/>
    <n v="701"/>
    <n v="45"/>
    <n v="0"/>
    <n v="837"/>
    <n v="93"/>
    <n v="0"/>
    <m/>
    <m/>
  </r>
  <r>
    <x v="13"/>
    <s v="Angelo State University"/>
    <n v="222831"/>
    <x v="2"/>
    <n v="146437"/>
    <n v="145855"/>
    <n v="140020"/>
    <n v="140247"/>
    <n v="300"/>
    <n v="0"/>
    <n v="6116"/>
    <n v="0"/>
    <n v="1"/>
    <n v="5557"/>
    <n v="51"/>
    <n v="0"/>
    <m/>
    <m/>
    <n v="9563"/>
    <n v="9947"/>
    <n v="6856"/>
    <n v="6697"/>
    <n v="0"/>
    <n v="0"/>
    <n v="2707"/>
    <n v="0"/>
    <n v="0"/>
    <n v="3250"/>
    <n v="0"/>
    <n v="0"/>
    <m/>
    <m/>
  </r>
  <r>
    <x v="13"/>
    <s v="Lamar University"/>
    <n v="226091"/>
    <x v="2"/>
    <n v="214319"/>
    <n v="228464"/>
    <n v="192738"/>
    <n v="199702"/>
    <n v="3940"/>
    <n v="4062"/>
    <n v="15379"/>
    <n v="1908"/>
    <n v="354"/>
    <n v="22371"/>
    <n v="2329"/>
    <n v="0"/>
    <m/>
    <m/>
    <n v="78352"/>
    <n v="102152"/>
    <n v="23492"/>
    <n v="22121"/>
    <n v="87"/>
    <n v="0"/>
    <n v="1088"/>
    <n v="0"/>
    <n v="53685"/>
    <n v="1482"/>
    <n v="0"/>
    <n v="78549"/>
    <m/>
    <m/>
  </r>
  <r>
    <x v="13"/>
    <s v="Midwestern State University"/>
    <n v="226833"/>
    <x v="2"/>
    <n v="134099"/>
    <n v="139047"/>
    <n v="117724"/>
    <n v="121608"/>
    <n v="1953"/>
    <n v="2367"/>
    <n v="14287"/>
    <n v="0"/>
    <n v="135"/>
    <n v="15003"/>
    <n v="0"/>
    <n v="69"/>
    <m/>
    <m/>
    <n v="8979"/>
    <n v="8667"/>
    <n v="6941"/>
    <n v="6319"/>
    <n v="168"/>
    <n v="84"/>
    <n v="1546"/>
    <n v="324"/>
    <n v="0"/>
    <n v="2111"/>
    <n v="153"/>
    <n v="0"/>
    <m/>
    <m/>
  </r>
  <r>
    <x v="13"/>
    <s v="Prairie View A &amp; M University"/>
    <n v="227526"/>
    <x v="2"/>
    <n v="170676"/>
    <n v="172879"/>
    <n v="158705"/>
    <n v="162235"/>
    <n v="10963"/>
    <n v="9819"/>
    <n v="702"/>
    <n v="306"/>
    <n v="0"/>
    <n v="825"/>
    <n v="0"/>
    <n v="0"/>
    <m/>
    <m/>
    <n v="37396"/>
    <n v="33085"/>
    <n v="20768"/>
    <n v="24973"/>
    <n v="7457"/>
    <n v="4437"/>
    <n v="7215"/>
    <n v="1956"/>
    <n v="0"/>
    <n v="3675"/>
    <n v="0"/>
    <n v="0"/>
    <m/>
    <m/>
  </r>
  <r>
    <x v="13"/>
    <s v="Sam Houston State University "/>
    <n v="227881"/>
    <x v="2"/>
    <n v="398130"/>
    <n v="398693"/>
    <n v="376906"/>
    <n v="373718"/>
    <n v="18944"/>
    <n v="19691"/>
    <n v="2280"/>
    <n v="0"/>
    <n v="0"/>
    <n v="5251"/>
    <n v="33"/>
    <n v="0"/>
    <m/>
    <m/>
    <n v="38178"/>
    <n v="35248"/>
    <n v="15902"/>
    <n v="14051"/>
    <n v="9128"/>
    <n v="7169"/>
    <n v="12896"/>
    <n v="252"/>
    <n v="0"/>
    <n v="13584"/>
    <n v="444"/>
    <n v="0"/>
    <m/>
    <m/>
  </r>
  <r>
    <x v="13"/>
    <s v="Stephen F. Austin State University"/>
    <n v="228431"/>
    <x v="2"/>
    <n v="283964"/>
    <n v="297592"/>
    <n v="256846"/>
    <n v="262121"/>
    <n v="6118"/>
    <n v="7063"/>
    <n v="20979"/>
    <n v="21"/>
    <n v="0"/>
    <n v="28246"/>
    <n v="162"/>
    <n v="0"/>
    <m/>
    <m/>
    <n v="26956"/>
    <n v="27857"/>
    <n v="16611"/>
    <n v="15835"/>
    <n v="2577"/>
    <n v="1922"/>
    <n v="7440"/>
    <n v="235"/>
    <n v="93"/>
    <n v="9814"/>
    <n v="238"/>
    <n v="48"/>
    <m/>
    <m/>
  </r>
  <r>
    <x v="13"/>
    <s v="Sul Ross State University "/>
    <n v="228501"/>
    <x v="2"/>
    <n v="34002"/>
    <n v="35901"/>
    <n v="31115"/>
    <n v="32095"/>
    <n v="2"/>
    <n v="22"/>
    <n v="2423"/>
    <n v="462"/>
    <n v="0"/>
    <n v="2827"/>
    <n v="957"/>
    <n v="0"/>
    <m/>
    <m/>
    <n v="8611"/>
    <n v="9411"/>
    <n v="4967"/>
    <n v="4719"/>
    <n v="173"/>
    <n v="561"/>
    <n v="3264"/>
    <n v="207"/>
    <n v="0"/>
    <n v="3855"/>
    <n v="276"/>
    <n v="0"/>
    <m/>
    <m/>
  </r>
  <r>
    <x v="13"/>
    <s v="Tarleton State University"/>
    <n v="228529"/>
    <x v="2"/>
    <n v="202738"/>
    <n v="202710"/>
    <n v="158252"/>
    <n v="154056"/>
    <n v="32618"/>
    <n v="30273"/>
    <n v="8901"/>
    <n v="2967"/>
    <n v="0"/>
    <n v="16209"/>
    <n v="2172"/>
    <n v="0"/>
    <m/>
    <m/>
    <n v="28130"/>
    <n v="28095"/>
    <n v="6814"/>
    <n v="5572"/>
    <n v="15590"/>
    <n v="15460"/>
    <n v="5351"/>
    <n v="375"/>
    <n v="0"/>
    <n v="6762"/>
    <n v="301"/>
    <n v="0"/>
    <m/>
    <m/>
  </r>
  <r>
    <x v="13"/>
    <s v="Texas A &amp; M University - Commerce"/>
    <n v="224554"/>
    <x v="2"/>
    <n v="129976"/>
    <n v="134111"/>
    <n v="95384"/>
    <n v="91574"/>
    <n v="14559"/>
    <n v="14150"/>
    <n v="19622"/>
    <n v="411"/>
    <n v="0"/>
    <n v="27982"/>
    <n v="405"/>
    <n v="0"/>
    <m/>
    <m/>
    <n v="62038"/>
    <n v="60044"/>
    <n v="18450"/>
    <n v="17090"/>
    <n v="19689"/>
    <n v="16441"/>
    <n v="22753"/>
    <n v="1146"/>
    <n v="0"/>
    <n v="25790"/>
    <n v="723"/>
    <n v="0"/>
    <m/>
    <m/>
  </r>
  <r>
    <x v="13"/>
    <s v="Texas A &amp; M University-Corpus Christi "/>
    <n v="224147"/>
    <x v="2"/>
    <n v="187685"/>
    <n v="197980"/>
    <n v="187631"/>
    <n v="195573"/>
    <n v="0"/>
    <n v="0"/>
    <n v="54"/>
    <n v="0"/>
    <n v="0"/>
    <n v="2407"/>
    <n v="0"/>
    <n v="0"/>
    <m/>
    <m/>
    <n v="25473"/>
    <n v="27951"/>
    <n v="25137"/>
    <n v="25647"/>
    <n v="0"/>
    <n v="0"/>
    <n v="336"/>
    <n v="0"/>
    <n v="0"/>
    <n v="2304"/>
    <n v="0"/>
    <n v="0"/>
    <m/>
    <m/>
  </r>
  <r>
    <x v="13"/>
    <s v="Texas A &amp; M University-Kingsville"/>
    <n v="228705"/>
    <x v="2"/>
    <n v="135720"/>
    <n v="132231"/>
    <n v="109346"/>
    <n v="112695"/>
    <n v="24398"/>
    <n v="16656"/>
    <n v="939"/>
    <n v="1037"/>
    <n v="0"/>
    <n v="2331"/>
    <n v="549"/>
    <n v="0"/>
    <m/>
    <m/>
    <n v="28944"/>
    <n v="27076"/>
    <n v="23856"/>
    <n v="18646"/>
    <n v="2262"/>
    <n v="4170"/>
    <n v="2469"/>
    <n v="357"/>
    <n v="0"/>
    <n v="4128"/>
    <n v="132"/>
    <n v="0"/>
    <m/>
    <m/>
  </r>
  <r>
    <x v="13"/>
    <s v="Texas A&amp;M International University"/>
    <n v="226152"/>
    <x v="2"/>
    <n v="109640"/>
    <n v="119975"/>
    <n v="103760"/>
    <n v="114864"/>
    <n v="0"/>
    <n v="0"/>
    <n v="5880"/>
    <n v="0"/>
    <n v="0"/>
    <n v="5111"/>
    <n v="0"/>
    <n v="0"/>
    <m/>
    <m/>
    <n v="15474"/>
    <n v="15133"/>
    <n v="11985"/>
    <n v="11947"/>
    <n v="0"/>
    <n v="0"/>
    <n v="3393"/>
    <n v="96"/>
    <n v="0"/>
    <n v="3015"/>
    <n v="171"/>
    <n v="0"/>
    <m/>
    <m/>
  </r>
  <r>
    <x v="13"/>
    <s v="Texas Southern University "/>
    <n v="229063"/>
    <x v="2"/>
    <n v="180763"/>
    <n v="177407"/>
    <n v="180517"/>
    <n v="175823"/>
    <n v="246"/>
    <n v="165"/>
    <n v="0"/>
    <n v="0"/>
    <n v="0"/>
    <n v="0"/>
    <n v="0"/>
    <n v="1419"/>
    <m/>
    <m/>
    <n v="44093"/>
    <n v="46198"/>
    <n v="43745"/>
    <n v="45106"/>
    <n v="348"/>
    <n v="324"/>
    <n v="0"/>
    <n v="0"/>
    <n v="0"/>
    <n v="0"/>
    <n v="0"/>
    <n v="768"/>
    <m/>
    <m/>
  </r>
  <r>
    <x v="13"/>
    <s v="Texas State University - San Marcos "/>
    <n v="228459"/>
    <x v="2"/>
    <n v="661570"/>
    <n v="677840"/>
    <n v="636701"/>
    <n v="648891"/>
    <n v="18549"/>
    <n v="20220"/>
    <n v="5873"/>
    <n v="114"/>
    <n v="333"/>
    <n v="8285"/>
    <n v="78"/>
    <n v="366"/>
    <m/>
    <m/>
    <n v="65817"/>
    <n v="72757"/>
    <n v="51428"/>
    <n v="57162"/>
    <n v="9872"/>
    <n v="10562"/>
    <n v="3815"/>
    <n v="645"/>
    <n v="57"/>
    <n v="4931"/>
    <n v="60"/>
    <n v="42"/>
    <m/>
    <m/>
  </r>
  <r>
    <x v="13"/>
    <s v="University of Houston-Clear Lake "/>
    <n v="225414"/>
    <x v="2"/>
    <n v="93022"/>
    <n v="95070"/>
    <n v="79042"/>
    <n v="77661"/>
    <n v="4392"/>
    <n v="4155"/>
    <n v="9588"/>
    <n v="0"/>
    <n v="0"/>
    <n v="13254"/>
    <n v="0"/>
    <n v="0"/>
    <m/>
    <m/>
    <n v="54869"/>
    <n v="50931"/>
    <n v="34207"/>
    <n v="32294"/>
    <n v="7544"/>
    <n v="6252"/>
    <n v="13118"/>
    <n v="0"/>
    <n v="0"/>
    <n v="12385"/>
    <n v="0"/>
    <n v="0"/>
    <m/>
    <m/>
  </r>
  <r>
    <x v="13"/>
    <s v="University of Texas at Tyler"/>
    <n v="228802"/>
    <x v="2"/>
    <n v="129912"/>
    <n v="126341"/>
    <n v="115166"/>
    <n v="112868"/>
    <n v="1769"/>
    <n v="1548"/>
    <n v="5743"/>
    <n v="7234"/>
    <n v="0"/>
    <n v="6188"/>
    <n v="5737"/>
    <n v="0"/>
    <m/>
    <m/>
    <n v="13295"/>
    <n v="13307"/>
    <n v="9005"/>
    <n v="8861"/>
    <n v="444"/>
    <n v="324"/>
    <n v="3507"/>
    <n v="339"/>
    <n v="0"/>
    <n v="3933"/>
    <n v="189"/>
    <n v="0"/>
    <m/>
    <m/>
  </r>
  <r>
    <x v="13"/>
    <s v="University of Texas-Pan American"/>
    <n v="227368"/>
    <x v="2"/>
    <n v="408050"/>
    <n v="418428"/>
    <n v="390138"/>
    <n v="407634"/>
    <n v="3444"/>
    <n v="4640"/>
    <n v="14189"/>
    <n v="279"/>
    <n v="0"/>
    <n v="5794"/>
    <n v="360"/>
    <n v="0"/>
    <m/>
    <m/>
    <n v="36439"/>
    <n v="39437"/>
    <n v="33225"/>
    <n v="37544"/>
    <n v="0"/>
    <n v="78"/>
    <n v="3214"/>
    <n v="0"/>
    <n v="0"/>
    <n v="1815"/>
    <n v="0"/>
    <n v="0"/>
    <m/>
    <m/>
  </r>
  <r>
    <x v="13"/>
    <s v="West Texas A &amp; M University"/>
    <n v="229814"/>
    <x v="2"/>
    <n v="156933"/>
    <n v="162080"/>
    <n v="130067"/>
    <n v="133024"/>
    <n v="216"/>
    <n v="0"/>
    <n v="26650"/>
    <n v="0"/>
    <n v="0"/>
    <n v="29056"/>
    <n v="0"/>
    <n v="0"/>
    <m/>
    <m/>
    <n v="20354"/>
    <n v="20395"/>
    <n v="11545"/>
    <n v="10163"/>
    <n v="393"/>
    <n v="231"/>
    <n v="8416"/>
    <n v="0"/>
    <n v="0"/>
    <n v="10001"/>
    <n v="0"/>
    <n v="0"/>
    <m/>
    <m/>
  </r>
  <r>
    <x v="13"/>
    <s v="Texas A &amp; M -Texarkana"/>
    <n v="224545"/>
    <x v="3"/>
    <n v="22879"/>
    <n v="24286"/>
    <n v="16026"/>
    <n v="16034"/>
    <n v="3348"/>
    <n v="3864"/>
    <n v="3291"/>
    <n v="214"/>
    <n v="0"/>
    <n v="4242"/>
    <n v="146"/>
    <n v="0"/>
    <m/>
    <m/>
    <n v="9259"/>
    <n v="9072"/>
    <n v="6532"/>
    <n v="6075"/>
    <n v="864"/>
    <n v="663"/>
    <n v="1863"/>
    <n v="0"/>
    <n v="0"/>
    <n v="2334"/>
    <n v="0"/>
    <n v="0"/>
    <m/>
    <m/>
  </r>
  <r>
    <x v="13"/>
    <s v="University of Houston-Victoria"/>
    <n v="225502"/>
    <x v="3"/>
    <n v="34896"/>
    <n v="40758"/>
    <n v="3888"/>
    <n v="3793"/>
    <n v="7341"/>
    <n v="7695"/>
    <n v="22015"/>
    <n v="0"/>
    <n v="1652"/>
    <n v="26856"/>
    <n v="0"/>
    <n v="2414"/>
    <m/>
    <m/>
    <n v="22541"/>
    <n v="25069"/>
    <n v="959"/>
    <n v="967"/>
    <n v="4782"/>
    <n v="5742"/>
    <n v="15699"/>
    <n v="0"/>
    <n v="1101"/>
    <n v="17460"/>
    <n v="0"/>
    <n v="900"/>
    <m/>
    <m/>
  </r>
  <r>
    <x v="13"/>
    <s v="University of Texas at Brownsville"/>
    <n v="227377"/>
    <x v="3"/>
    <n v="87159"/>
    <n v="89797"/>
    <n v="75373"/>
    <n v="74569"/>
    <n v="0"/>
    <n v="0"/>
    <n v="11786"/>
    <n v="0"/>
    <n v="0"/>
    <n v="15228"/>
    <n v="0"/>
    <n v="0"/>
    <m/>
    <m/>
    <n v="10763"/>
    <n v="11711"/>
    <n v="8942"/>
    <n v="9719"/>
    <n v="0"/>
    <n v="0"/>
    <n v="1821"/>
    <n v="0"/>
    <n v="0"/>
    <n v="1992"/>
    <n v="0"/>
    <n v="0"/>
    <m/>
    <m/>
  </r>
  <r>
    <x v="13"/>
    <s v="University of Texas of the Permian Basin"/>
    <n v="229018"/>
    <x v="3"/>
    <n v="68300"/>
    <n v="67756"/>
    <n v="57568"/>
    <n v="57391"/>
    <n v="1230"/>
    <n v="870"/>
    <n v="9019"/>
    <n v="483"/>
    <n v="0"/>
    <n v="9432"/>
    <n v="63"/>
    <n v="0"/>
    <m/>
    <m/>
    <n v="9747"/>
    <n v="10192"/>
    <n v="6420"/>
    <n v="6769"/>
    <n v="105"/>
    <n v="54"/>
    <n v="3222"/>
    <n v="0"/>
    <n v="0"/>
    <n v="3369"/>
    <n v="0"/>
    <n v="0"/>
    <m/>
    <m/>
  </r>
  <r>
    <x v="13"/>
    <s v="Sul Ross State University-Rio Grande College"/>
    <s v="228501B"/>
    <x v="4"/>
    <n v="15716"/>
    <n v="15986"/>
    <n v="9203"/>
    <n v="9032"/>
    <n v="0"/>
    <n v="0"/>
    <n v="2415"/>
    <n v="4098"/>
    <n v="0"/>
    <n v="2694"/>
    <n v="4239"/>
    <n v="21"/>
    <m/>
    <m/>
    <n v="2907"/>
    <n v="3306"/>
    <n v="2379"/>
    <n v="2310"/>
    <n v="0"/>
    <n v="0"/>
    <n v="255"/>
    <n v="273"/>
    <n v="0"/>
    <n v="705"/>
    <n v="285"/>
    <n v="6"/>
    <m/>
    <m/>
  </r>
  <r>
    <x v="13"/>
    <s v="University of Houston-Downtown"/>
    <n v="225432"/>
    <x v="4"/>
    <n v="255195"/>
    <n v="260497"/>
    <n v="219372"/>
    <n v="219564"/>
    <n v="11820"/>
    <n v="12985"/>
    <n v="21372"/>
    <n v="2406"/>
    <n v="225"/>
    <n v="26220"/>
    <n v="1458"/>
    <n v="270"/>
    <m/>
    <m/>
    <n v="2043"/>
    <n v="2184"/>
    <n v="2010"/>
    <n v="2157"/>
    <n v="9"/>
    <n v="9"/>
    <n v="24"/>
    <n v="0"/>
    <n v="0"/>
    <n v="18"/>
    <n v="0"/>
    <n v="0"/>
    <m/>
    <m/>
  </r>
  <r>
    <x v="13"/>
    <s v="Texas A &amp; M University at Galveston"/>
    <n v="228714"/>
    <x v="5"/>
    <n v="44481"/>
    <n v="49077"/>
    <n v="44481"/>
    <n v="49077"/>
    <n v="0"/>
    <n v="0"/>
    <n v="0"/>
    <n v="0"/>
    <n v="0"/>
    <n v="0"/>
    <n v="0"/>
    <n v="0"/>
    <m/>
    <m/>
    <n v="824"/>
    <n v="874"/>
    <n v="824"/>
    <n v="820"/>
    <n v="0"/>
    <n v="18"/>
    <n v="0"/>
    <n v="0"/>
    <n v="0"/>
    <n v="36"/>
    <n v="0"/>
    <n v="0"/>
    <m/>
    <m/>
  </r>
  <r>
    <x v="13"/>
    <s v="Brazosport College "/>
    <n v="223506"/>
    <x v="11"/>
    <n v="68012"/>
    <n v="69862"/>
    <n v="57121"/>
    <n v="56582"/>
    <n v="4039"/>
    <n v="4746"/>
    <n v="6852"/>
    <n v="0"/>
    <n v="0"/>
    <n v="8534"/>
    <n v="0"/>
    <n v="0"/>
    <m/>
    <m/>
    <n v="0"/>
    <n v="0"/>
    <m/>
    <m/>
    <m/>
    <m/>
    <m/>
    <m/>
    <m/>
    <m/>
    <m/>
    <m/>
    <m/>
    <m/>
  </r>
  <r>
    <x v="13"/>
    <s v="Midland College "/>
    <n v="226806"/>
    <x v="11"/>
    <n v="111923"/>
    <n v="116091"/>
    <n v="76385"/>
    <n v="76871"/>
    <n v="3087"/>
    <n v="2474"/>
    <n v="30502"/>
    <n v="1949"/>
    <n v="0"/>
    <n v="34935"/>
    <n v="1811"/>
    <n v="0"/>
    <m/>
    <m/>
    <n v="0"/>
    <n v="0"/>
    <m/>
    <m/>
    <m/>
    <m/>
    <m/>
    <m/>
    <m/>
    <m/>
    <m/>
    <m/>
    <m/>
    <m/>
  </r>
  <r>
    <x v="13"/>
    <s v="South Texas College"/>
    <n v="409315"/>
    <x v="11"/>
    <n v="389267"/>
    <n v="460037"/>
    <n v="347498"/>
    <n v="407227"/>
    <n v="0"/>
    <n v="0"/>
    <n v="41649"/>
    <n v="0"/>
    <n v="120"/>
    <n v="52660"/>
    <n v="0"/>
    <n v="150"/>
    <m/>
    <m/>
    <n v="0"/>
    <n v="0"/>
    <m/>
    <m/>
    <m/>
    <m/>
    <m/>
    <m/>
    <m/>
    <m/>
    <m/>
    <m/>
    <m/>
    <m/>
  </r>
  <r>
    <x v="13"/>
    <s v="Amarillo College "/>
    <n v="222576"/>
    <x v="6"/>
    <n v="176670"/>
    <n v="190249"/>
    <n v="128082"/>
    <n v="134144"/>
    <n v="5986"/>
    <n v="6082"/>
    <n v="39095"/>
    <n v="819"/>
    <n v="2688"/>
    <n v="44339"/>
    <n v="474"/>
    <n v="5210"/>
    <m/>
    <m/>
    <n v="0"/>
    <n v="0"/>
    <m/>
    <m/>
    <m/>
    <m/>
    <m/>
    <m/>
    <m/>
    <m/>
    <m/>
    <m/>
    <m/>
    <m/>
  </r>
  <r>
    <x v="13"/>
    <s v="Austin Community College "/>
    <n v="222992"/>
    <x v="6"/>
    <n v="647135"/>
    <n v="728939"/>
    <n v="511478"/>
    <n v="580656"/>
    <n v="39272"/>
    <n v="49142"/>
    <n v="96385"/>
    <n v="0"/>
    <n v="0"/>
    <n v="97041"/>
    <n v="0"/>
    <n v="2100"/>
    <m/>
    <m/>
    <n v="0"/>
    <n v="0"/>
    <m/>
    <m/>
    <m/>
    <m/>
    <m/>
    <m/>
    <m/>
    <m/>
    <m/>
    <m/>
    <m/>
    <m/>
  </r>
  <r>
    <x v="13"/>
    <s v="Blinn College "/>
    <n v="223427"/>
    <x v="6"/>
    <n v="339922"/>
    <n v="372652"/>
    <n v="54725"/>
    <n v="58220"/>
    <n v="249759"/>
    <n v="270782"/>
    <n v="35438"/>
    <n v="0"/>
    <n v="0"/>
    <n v="43650"/>
    <n v="0"/>
    <n v="0"/>
    <m/>
    <m/>
    <n v="0"/>
    <n v="0"/>
    <m/>
    <m/>
    <m/>
    <m/>
    <m/>
    <m/>
    <m/>
    <m/>
    <m/>
    <m/>
    <m/>
    <m/>
  </r>
  <r>
    <x v="13"/>
    <s v="Brookhaven College (DCCCD)"/>
    <n v="223524"/>
    <x v="6"/>
    <n v="188250"/>
    <n v="197873"/>
    <n v="147409"/>
    <n v="150597"/>
    <n v="0"/>
    <n v="0"/>
    <n v="40454"/>
    <n v="0"/>
    <n v="387"/>
    <n v="47005"/>
    <n v="0"/>
    <n v="271"/>
    <m/>
    <m/>
    <n v="0"/>
    <n v="0"/>
    <m/>
    <m/>
    <m/>
    <m/>
    <m/>
    <m/>
    <m/>
    <m/>
    <m/>
    <m/>
    <m/>
    <m/>
  </r>
  <r>
    <x v="13"/>
    <s v="Central Texas College "/>
    <n v="223816"/>
    <x v="6"/>
    <n v="264146"/>
    <n v="274603"/>
    <n v="97874"/>
    <n v="102979"/>
    <n v="59093"/>
    <n v="60596"/>
    <n v="105710"/>
    <n v="1149"/>
    <n v="320"/>
    <n v="109651"/>
    <n v="1002"/>
    <n v="375"/>
    <m/>
    <m/>
    <n v="0"/>
    <n v="0"/>
    <m/>
    <m/>
    <m/>
    <m/>
    <m/>
    <m/>
    <m/>
    <m/>
    <m/>
    <m/>
    <m/>
    <m/>
  </r>
  <r>
    <x v="13"/>
    <s v="Collin County Community College District"/>
    <n v="247834"/>
    <x v="6"/>
    <n v="418439"/>
    <n v="472245"/>
    <n v="376730"/>
    <n v="425828"/>
    <n v="2888"/>
    <n v="3200"/>
    <n v="30924"/>
    <n v="0"/>
    <n v="7897"/>
    <n v="43068"/>
    <n v="0"/>
    <n v="149"/>
    <m/>
    <m/>
    <n v="0"/>
    <n v="0"/>
    <m/>
    <m/>
    <m/>
    <m/>
    <m/>
    <m/>
    <m/>
    <m/>
    <m/>
    <m/>
    <m/>
    <m/>
  </r>
  <r>
    <x v="13"/>
    <s v="Del Mar College "/>
    <n v="224350"/>
    <x v="6"/>
    <n v="206359"/>
    <n v="221044"/>
    <n v="185553"/>
    <n v="198145"/>
    <n v="431"/>
    <n v="213"/>
    <n v="20318"/>
    <n v="0"/>
    <n v="57"/>
    <n v="22686"/>
    <n v="0"/>
    <n v="0"/>
    <m/>
    <m/>
    <n v="0"/>
    <n v="0"/>
    <m/>
    <m/>
    <m/>
    <m/>
    <m/>
    <m/>
    <m/>
    <m/>
    <m/>
    <m/>
    <m/>
    <m/>
  </r>
  <r>
    <x v="13"/>
    <s v="Eastfield College (DCCCD)"/>
    <n v="224572"/>
    <x v="6"/>
    <n v="185304"/>
    <n v="196928"/>
    <n v="147313"/>
    <n v="152685"/>
    <n v="0"/>
    <n v="0"/>
    <n v="37174"/>
    <n v="0"/>
    <n v="817"/>
    <n v="42565"/>
    <n v="0"/>
    <n v="1678"/>
    <m/>
    <m/>
    <n v="0"/>
    <n v="0"/>
    <m/>
    <m/>
    <m/>
    <m/>
    <m/>
    <m/>
    <m/>
    <m/>
    <m/>
    <m/>
    <m/>
    <m/>
  </r>
  <r>
    <x v="13"/>
    <s v="El Paso County Community College District"/>
    <n v="224642"/>
    <x v="6"/>
    <n v="478668"/>
    <n v="513685"/>
    <n v="445359"/>
    <n v="473687"/>
    <n v="0"/>
    <n v="0"/>
    <n v="28674"/>
    <n v="681"/>
    <n v="3954"/>
    <n v="31398"/>
    <n v="876"/>
    <n v="7724"/>
    <m/>
    <m/>
    <n v="0"/>
    <n v="0"/>
    <m/>
    <m/>
    <m/>
    <m/>
    <m/>
    <m/>
    <m/>
    <m/>
    <m/>
    <m/>
    <m/>
    <m/>
  </r>
  <r>
    <x v="13"/>
    <s v="Houston Community College"/>
    <n v="225423"/>
    <x v="6"/>
    <n v="866197"/>
    <n v="981244"/>
    <n v="532978"/>
    <n v="631291"/>
    <n v="194430"/>
    <n v="178566"/>
    <n v="137232"/>
    <n v="0"/>
    <n v="1557"/>
    <n v="170300"/>
    <n v="0"/>
    <n v="1087"/>
    <m/>
    <m/>
    <n v="0"/>
    <n v="0"/>
    <m/>
    <m/>
    <m/>
    <m/>
    <m/>
    <m/>
    <m/>
    <m/>
    <m/>
    <m/>
    <m/>
    <m/>
  </r>
  <r>
    <x v="13"/>
    <s v="Laredo Community College "/>
    <n v="226134"/>
    <x v="6"/>
    <n v="157444"/>
    <n v="173580"/>
    <n v="135460"/>
    <n v="149861"/>
    <n v="0"/>
    <n v="0"/>
    <n v="21984"/>
    <n v="0"/>
    <n v="0"/>
    <n v="23719"/>
    <n v="0"/>
    <n v="0"/>
    <m/>
    <m/>
    <n v="0"/>
    <n v="0"/>
    <m/>
    <m/>
    <m/>
    <m/>
    <m/>
    <m/>
    <m/>
    <m/>
    <m/>
    <m/>
    <m/>
    <m/>
  </r>
  <r>
    <x v="13"/>
    <s v="Lone Star College System District"/>
    <n v="227182"/>
    <x v="6"/>
    <n v="842208"/>
    <n v="916488"/>
    <n v="705627"/>
    <n v="758146"/>
    <n v="1403"/>
    <n v="1960"/>
    <n v="131607"/>
    <n v="0"/>
    <n v="3571"/>
    <n v="152895"/>
    <n v="0"/>
    <n v="3487"/>
    <m/>
    <m/>
    <n v="0"/>
    <n v="0"/>
    <m/>
    <m/>
    <m/>
    <m/>
    <m/>
    <m/>
    <m/>
    <m/>
    <m/>
    <m/>
    <m/>
    <m/>
  </r>
  <r>
    <x v="13"/>
    <s v="Navarro College "/>
    <n v="227146"/>
    <x v="6"/>
    <n v="171875"/>
    <n v="199058"/>
    <n v="65877"/>
    <n v="71510"/>
    <n v="66713"/>
    <n v="77002"/>
    <n v="35657"/>
    <n v="0"/>
    <n v="3628"/>
    <n v="46232"/>
    <n v="0"/>
    <n v="4314"/>
    <m/>
    <m/>
    <n v="0"/>
    <n v="0"/>
    <m/>
    <m/>
    <m/>
    <m/>
    <m/>
    <m/>
    <m/>
    <m/>
    <m/>
    <m/>
    <m/>
    <m/>
  </r>
  <r>
    <x v="13"/>
    <s v="North Lake College (DCCCD)"/>
    <n v="227191"/>
    <x v="6"/>
    <n v="179296"/>
    <n v="194742"/>
    <n v="140389"/>
    <n v="152331"/>
    <n v="3696"/>
    <n v="3053"/>
    <n v="34689"/>
    <n v="0"/>
    <n v="522"/>
    <n v="38965"/>
    <n v="0"/>
    <n v="393"/>
    <m/>
    <m/>
    <n v="0"/>
    <n v="0"/>
    <m/>
    <m/>
    <m/>
    <m/>
    <m/>
    <m/>
    <m/>
    <m/>
    <m/>
    <m/>
    <m/>
    <m/>
  </r>
  <r>
    <x v="13"/>
    <s v="Northwest Vista College (ACCD)"/>
    <n v="420398"/>
    <x v="6"/>
    <n v="214596"/>
    <n v="258060"/>
    <n v="193323"/>
    <n v="237149"/>
    <n v="0"/>
    <n v="0"/>
    <n v="21273"/>
    <n v="0"/>
    <n v="0"/>
    <n v="20557"/>
    <n v="0"/>
    <n v="354"/>
    <m/>
    <m/>
    <n v="0"/>
    <n v="0"/>
    <m/>
    <m/>
    <m/>
    <m/>
    <m/>
    <m/>
    <m/>
    <m/>
    <m/>
    <m/>
    <m/>
    <m/>
  </r>
  <r>
    <x v="13"/>
    <s v="Palo Alto College (ACCD)"/>
    <n v="246354"/>
    <x v="6"/>
    <n v="151829"/>
    <n v="159901"/>
    <n v="120745"/>
    <n v="130224"/>
    <n v="123"/>
    <n v="114"/>
    <n v="27721"/>
    <n v="1113"/>
    <n v="2127"/>
    <n v="26515"/>
    <n v="960"/>
    <n v="2088"/>
    <m/>
    <m/>
    <n v="0"/>
    <n v="0"/>
    <m/>
    <m/>
    <m/>
    <m/>
    <m/>
    <m/>
    <m/>
    <m/>
    <m/>
    <m/>
    <m/>
    <m/>
  </r>
  <r>
    <x v="13"/>
    <s v="Richland College (DCCCD)"/>
    <n v="227766"/>
    <x v="6"/>
    <n v="278781"/>
    <n v="319106"/>
    <n v="221929"/>
    <n v="245359"/>
    <n v="0"/>
    <n v="0"/>
    <n v="56831"/>
    <n v="0"/>
    <n v="21"/>
    <n v="73699"/>
    <n v="0"/>
    <n v="48"/>
    <m/>
    <m/>
    <n v="0"/>
    <n v="0"/>
    <m/>
    <m/>
    <m/>
    <m/>
    <m/>
    <m/>
    <m/>
    <m/>
    <m/>
    <m/>
    <m/>
    <m/>
  </r>
  <r>
    <x v="13"/>
    <s v="San Antonio College (ACCD)"/>
    <n v="227924"/>
    <x v="6"/>
    <n v="433451"/>
    <n v="469305"/>
    <n v="371607"/>
    <n v="399647"/>
    <n v="3818"/>
    <n v="5565"/>
    <n v="54740"/>
    <n v="172"/>
    <n v="3114"/>
    <n v="61276"/>
    <n v="190"/>
    <n v="2627"/>
    <m/>
    <m/>
    <n v="0"/>
    <n v="0"/>
    <m/>
    <m/>
    <m/>
    <m/>
    <m/>
    <m/>
    <m/>
    <m/>
    <m/>
    <m/>
    <m/>
    <m/>
  </r>
  <r>
    <x v="13"/>
    <s v="San Jacinto College"/>
    <n v="227979"/>
    <x v="6"/>
    <n v="489055"/>
    <n v="523177"/>
    <n v="439873"/>
    <n v="447171"/>
    <n v="6457"/>
    <n v="9791"/>
    <n v="42236"/>
    <n v="465"/>
    <n v="24"/>
    <n v="65997"/>
    <n v="218"/>
    <n v="0"/>
    <m/>
    <m/>
    <n v="0"/>
    <n v="0"/>
    <m/>
    <m/>
    <m/>
    <m/>
    <m/>
    <m/>
    <m/>
    <m/>
    <m/>
    <m/>
    <m/>
    <m/>
  </r>
  <r>
    <x v="13"/>
    <s v="South Plains College "/>
    <n v="228158"/>
    <x v="6"/>
    <n v="191994"/>
    <n v="203280"/>
    <n v="85953"/>
    <n v="89758"/>
    <n v="75496"/>
    <n v="79083"/>
    <n v="26993"/>
    <n v="3552"/>
    <n v="0"/>
    <n v="28958"/>
    <n v="4082"/>
    <n v="1399"/>
    <m/>
    <m/>
    <n v="0"/>
    <n v="0"/>
    <m/>
    <m/>
    <m/>
    <m/>
    <m/>
    <m/>
    <m/>
    <m/>
    <m/>
    <m/>
    <m/>
    <m/>
  </r>
  <r>
    <x v="13"/>
    <s v="St. Philip's College (ACCD)"/>
    <n v="227854"/>
    <x v="6"/>
    <n v="200267"/>
    <n v="213961"/>
    <n v="173804"/>
    <n v="187535"/>
    <n v="2738"/>
    <n v="2039"/>
    <n v="22591"/>
    <n v="18"/>
    <n v="1116"/>
    <n v="22904"/>
    <n v="0"/>
    <n v="1483"/>
    <m/>
    <m/>
    <n v="0"/>
    <n v="0"/>
    <m/>
    <m/>
    <m/>
    <m/>
    <m/>
    <m/>
    <m/>
    <m/>
    <m/>
    <m/>
    <m/>
    <m/>
  </r>
  <r>
    <x v="13"/>
    <s v="Tarrant County College"/>
    <n v="228547"/>
    <x v="6"/>
    <n v="743632"/>
    <n v="827822"/>
    <n v="636988"/>
    <n v="697953"/>
    <n v="217"/>
    <n v="165"/>
    <n v="81413"/>
    <n v="0"/>
    <n v="25014"/>
    <n v="103707"/>
    <n v="0"/>
    <n v="25997"/>
    <m/>
    <m/>
    <n v="0"/>
    <n v="0"/>
    <m/>
    <m/>
    <m/>
    <m/>
    <m/>
    <m/>
    <m/>
    <m/>
    <m/>
    <m/>
    <m/>
    <m/>
  </r>
  <r>
    <x v="13"/>
    <s v="Texas Southmost College "/>
    <n v="229072"/>
    <x v="6"/>
    <n v="182037"/>
    <n v="181275"/>
    <n v="170067"/>
    <n v="169866"/>
    <n v="5573"/>
    <n v="6017"/>
    <n v="6397"/>
    <n v="0"/>
    <n v="0"/>
    <n v="5392"/>
    <n v="0"/>
    <n v="0"/>
    <m/>
    <m/>
    <n v="0"/>
    <n v="0"/>
    <m/>
    <m/>
    <m/>
    <m/>
    <m/>
    <m/>
    <m/>
    <m/>
    <m/>
    <m/>
    <m/>
    <m/>
  </r>
  <r>
    <x v="13"/>
    <s v="Tyler Junior College "/>
    <n v="229355"/>
    <x v="6"/>
    <n v="219523"/>
    <n v="235827"/>
    <n v="182810"/>
    <n v="190362"/>
    <n v="0"/>
    <n v="1981"/>
    <n v="34841"/>
    <n v="0"/>
    <n v="1872"/>
    <n v="41882"/>
    <n v="0"/>
    <n v="1602"/>
    <m/>
    <m/>
    <n v="0"/>
    <n v="0"/>
    <m/>
    <m/>
    <m/>
    <m/>
    <m/>
    <m/>
    <m/>
    <m/>
    <m/>
    <m/>
    <m/>
    <m/>
  </r>
  <r>
    <x v="13"/>
    <s v="Alvin Community College "/>
    <n v="222567"/>
    <x v="7"/>
    <n v="92482"/>
    <n v="100838"/>
    <n v="77189"/>
    <n v="83665"/>
    <n v="15167"/>
    <n v="17173"/>
    <n v="126"/>
    <n v="0"/>
    <n v="0"/>
    <n v="0"/>
    <n v="0"/>
    <n v="0"/>
    <m/>
    <m/>
    <n v="0"/>
    <n v="0"/>
    <m/>
    <m/>
    <m/>
    <m/>
    <m/>
    <m/>
    <m/>
    <m/>
    <m/>
    <m/>
    <m/>
    <m/>
  </r>
  <r>
    <x v="13"/>
    <s v="Angelina College "/>
    <n v="222822"/>
    <x v="7"/>
    <n v="95537"/>
    <n v="100867"/>
    <n v="70067"/>
    <n v="72328"/>
    <n v="11798"/>
    <n v="11534"/>
    <n v="9432"/>
    <n v="4220"/>
    <n v="20"/>
    <n v="10806"/>
    <n v="6199"/>
    <n v="0"/>
    <m/>
    <m/>
    <n v="0"/>
    <n v="0"/>
    <m/>
    <m/>
    <m/>
    <m/>
    <m/>
    <m/>
    <m/>
    <m/>
    <m/>
    <m/>
    <m/>
    <m/>
  </r>
  <r>
    <x v="13"/>
    <s v="Cedar Valley College (DCCCD)"/>
    <n v="223773"/>
    <x v="7"/>
    <n v="89646"/>
    <n v="99997"/>
    <n v="60035"/>
    <n v="65892"/>
    <n v="3059"/>
    <n v="1816"/>
    <n v="26381"/>
    <n v="0"/>
    <n v="171"/>
    <n v="32196"/>
    <n v="0"/>
    <n v="93"/>
    <m/>
    <m/>
    <n v="0"/>
    <n v="0"/>
    <m/>
    <m/>
    <m/>
    <m/>
    <m/>
    <m/>
    <m/>
    <m/>
    <m/>
    <m/>
    <m/>
    <m/>
  </r>
  <r>
    <x v="13"/>
    <s v="Coastal Bend College"/>
    <n v="223320"/>
    <x v="7"/>
    <n v="67522"/>
    <n v="77041"/>
    <n v="23886"/>
    <n v="25283"/>
    <n v="31912"/>
    <n v="33817"/>
    <n v="9232"/>
    <n v="2489"/>
    <n v="3"/>
    <n v="10575"/>
    <n v="5915"/>
    <n v="1451"/>
    <m/>
    <m/>
    <n v="0"/>
    <n v="0"/>
    <m/>
    <m/>
    <m/>
    <m/>
    <m/>
    <m/>
    <m/>
    <m/>
    <m/>
    <m/>
    <m/>
    <m/>
  </r>
  <r>
    <x v="13"/>
    <s v="College of the Mainland"/>
    <n v="226408"/>
    <x v="7"/>
    <n v="72503"/>
    <n v="77570"/>
    <n v="68069"/>
    <n v="72622"/>
    <n v="4434"/>
    <n v="4948"/>
    <n v="0"/>
    <n v="0"/>
    <n v="0"/>
    <n v="0"/>
    <n v="0"/>
    <n v="0"/>
    <m/>
    <m/>
    <n v="0"/>
    <n v="0"/>
    <m/>
    <m/>
    <m/>
    <m/>
    <m/>
    <m/>
    <m/>
    <m/>
    <m/>
    <m/>
    <m/>
    <m/>
  </r>
  <r>
    <x v="13"/>
    <s v="El Centro College  (DCCCD)"/>
    <n v="224615"/>
    <x v="7"/>
    <n v="126544"/>
    <n v="147601"/>
    <n v="104894"/>
    <n v="115943"/>
    <n v="0"/>
    <n v="0"/>
    <n v="21095"/>
    <n v="0"/>
    <n v="555"/>
    <n v="31298"/>
    <n v="0"/>
    <n v="360"/>
    <m/>
    <m/>
    <n v="0"/>
    <n v="0"/>
    <m/>
    <m/>
    <m/>
    <m/>
    <m/>
    <m/>
    <m/>
    <m/>
    <m/>
    <m/>
    <m/>
    <m/>
  </r>
  <r>
    <x v="13"/>
    <s v="Grayson County College "/>
    <n v="225070"/>
    <x v="7"/>
    <n v="85715"/>
    <n v="99227"/>
    <n v="64893"/>
    <n v="74740"/>
    <n v="660"/>
    <n v="457"/>
    <n v="18683"/>
    <n v="0"/>
    <n v="1479"/>
    <n v="22464"/>
    <n v="0"/>
    <n v="1566"/>
    <m/>
    <m/>
    <n v="0"/>
    <n v="0"/>
    <m/>
    <m/>
    <m/>
    <m/>
    <m/>
    <m/>
    <m/>
    <m/>
    <m/>
    <m/>
    <m/>
    <m/>
  </r>
  <r>
    <x v="13"/>
    <s v="Howard College (HCJCD)"/>
    <n v="225520"/>
    <x v="7"/>
    <n v="61905"/>
    <n v="70754"/>
    <n v="19184"/>
    <n v="22145"/>
    <n v="28712"/>
    <n v="33269"/>
    <n v="11337"/>
    <n v="2510"/>
    <n v="162"/>
    <n v="14050"/>
    <n v="1197"/>
    <n v="93"/>
    <m/>
    <m/>
    <n v="0"/>
    <n v="0"/>
    <m/>
    <m/>
    <m/>
    <m/>
    <m/>
    <m/>
    <m/>
    <m/>
    <m/>
    <m/>
    <m/>
    <m/>
  </r>
  <r>
    <x v="13"/>
    <s v="Kilgore College "/>
    <n v="226019"/>
    <x v="7"/>
    <n v="117934"/>
    <n v="128654"/>
    <n v="80724"/>
    <n v="82175"/>
    <n v="25042"/>
    <n v="31539"/>
    <n v="11433"/>
    <n v="369"/>
    <n v="366"/>
    <n v="14251"/>
    <n v="575"/>
    <n v="114"/>
    <m/>
    <m/>
    <n v="0"/>
    <n v="0"/>
    <m/>
    <m/>
    <m/>
    <m/>
    <m/>
    <m/>
    <m/>
    <m/>
    <m/>
    <m/>
    <m/>
    <m/>
  </r>
  <r>
    <x v="13"/>
    <s v="Lamar Institute of Technology"/>
    <n v="441760"/>
    <x v="7"/>
    <n v="60476"/>
    <n v="67264"/>
    <n v="57244"/>
    <n v="61378"/>
    <n v="0"/>
    <n v="0"/>
    <n v="3232"/>
    <n v="0"/>
    <n v="0"/>
    <n v="4786"/>
    <n v="0"/>
    <n v="1100"/>
    <m/>
    <m/>
    <n v="0"/>
    <n v="0"/>
    <m/>
    <m/>
    <m/>
    <m/>
    <m/>
    <m/>
    <m/>
    <m/>
    <m/>
    <m/>
    <m/>
    <m/>
  </r>
  <r>
    <x v="13"/>
    <s v="Lee College "/>
    <n v="226204"/>
    <x v="7"/>
    <n v="125005"/>
    <n v="133448"/>
    <n v="100000"/>
    <n v="105915"/>
    <n v="19964"/>
    <n v="22172"/>
    <n v="1182"/>
    <n v="0"/>
    <n v="3859"/>
    <n v="695"/>
    <n v="0"/>
    <n v="4666"/>
    <m/>
    <m/>
    <n v="0"/>
    <n v="0"/>
    <m/>
    <m/>
    <m/>
    <m/>
    <m/>
    <m/>
    <m/>
    <m/>
    <m/>
    <m/>
    <m/>
    <m/>
  </r>
  <r>
    <x v="13"/>
    <s v="McLennan Community College "/>
    <n v="226578"/>
    <x v="7"/>
    <n v="170680"/>
    <n v="190774"/>
    <n v="138129"/>
    <n v="147742"/>
    <n v="60"/>
    <n v="54"/>
    <n v="31387"/>
    <n v="1104"/>
    <n v="0"/>
    <n v="41808"/>
    <n v="1170"/>
    <n v="0"/>
    <m/>
    <m/>
    <n v="0"/>
    <n v="0"/>
    <m/>
    <m/>
    <m/>
    <m/>
    <m/>
    <m/>
    <m/>
    <m/>
    <m/>
    <m/>
    <m/>
    <m/>
  </r>
  <r>
    <x v="13"/>
    <s v="Mountain View College (DCCCD)"/>
    <n v="226930"/>
    <x v="7"/>
    <n v="117179"/>
    <n v="133562"/>
    <n v="97362"/>
    <n v="108960"/>
    <n v="0"/>
    <n v="0"/>
    <n v="19796"/>
    <n v="0"/>
    <n v="21"/>
    <n v="24602"/>
    <n v="0"/>
    <n v="0"/>
    <m/>
    <m/>
    <n v="0"/>
    <n v="0"/>
    <m/>
    <m/>
    <m/>
    <m/>
    <m/>
    <m/>
    <m/>
    <m/>
    <m/>
    <m/>
    <m/>
    <m/>
  </r>
  <r>
    <x v="13"/>
    <s v="North Central Texas Community College"/>
    <n v="224110"/>
    <x v="7"/>
    <n v="150625"/>
    <n v="167202"/>
    <n v="31797"/>
    <n v="32015"/>
    <n v="99834"/>
    <n v="112004"/>
    <n v="17802"/>
    <n v="138"/>
    <n v="1054"/>
    <n v="22272"/>
    <n v="111"/>
    <n v="800"/>
    <m/>
    <m/>
    <n v="0"/>
    <n v="0"/>
    <m/>
    <m/>
    <m/>
    <m/>
    <m/>
    <m/>
    <m/>
    <m/>
    <m/>
    <m/>
    <m/>
    <m/>
  </r>
  <r>
    <x v="13"/>
    <s v="Odessa College "/>
    <n v="227304"/>
    <x v="7"/>
    <n v="86763"/>
    <n v="92478"/>
    <n v="57663"/>
    <n v="60233"/>
    <n v="7053"/>
    <n v="6620"/>
    <n v="22047"/>
    <n v="0"/>
    <n v="0"/>
    <n v="25625"/>
    <n v="0"/>
    <n v="0"/>
    <m/>
    <m/>
    <n v="0"/>
    <n v="0"/>
    <m/>
    <m/>
    <m/>
    <m/>
    <m/>
    <m/>
    <m/>
    <m/>
    <m/>
    <m/>
    <m/>
    <m/>
  </r>
  <r>
    <x v="13"/>
    <s v="Paris Junior College"/>
    <n v="227401"/>
    <x v="7"/>
    <n v="92944"/>
    <n v="110247"/>
    <n v="41769"/>
    <n v="48291"/>
    <n v="33538"/>
    <n v="38124"/>
    <n v="14977"/>
    <n v="2660"/>
    <n v="0"/>
    <n v="20564"/>
    <n v="3268"/>
    <n v="0"/>
    <m/>
    <m/>
    <n v="0"/>
    <n v="0"/>
    <m/>
    <m/>
    <m/>
    <m/>
    <m/>
    <m/>
    <m/>
    <m/>
    <m/>
    <m/>
    <m/>
    <m/>
  </r>
  <r>
    <x v="13"/>
    <s v="Southwest Texas Junior College "/>
    <n v="228316"/>
    <x v="7"/>
    <n v="93170"/>
    <n v="105519"/>
    <n v="25619"/>
    <n v="30618"/>
    <n v="44587"/>
    <n v="49850"/>
    <n v="6668"/>
    <n v="16296"/>
    <n v="0"/>
    <n v="7217"/>
    <n v="17834"/>
    <n v="0"/>
    <m/>
    <m/>
    <n v="0"/>
    <n v="0"/>
    <m/>
    <m/>
    <m/>
    <m/>
    <m/>
    <m/>
    <m/>
    <m/>
    <m/>
    <m/>
    <m/>
    <m/>
  </r>
  <r>
    <x v="13"/>
    <s v="Temple College "/>
    <n v="228608"/>
    <x v="7"/>
    <n v="99320"/>
    <n v="110003"/>
    <n v="62308"/>
    <n v="67638"/>
    <n v="15882"/>
    <n v="17364"/>
    <n v="21130"/>
    <n v="0"/>
    <n v="0"/>
    <n v="25001"/>
    <n v="0"/>
    <n v="0"/>
    <m/>
    <m/>
    <n v="0"/>
    <n v="0"/>
    <m/>
    <m/>
    <m/>
    <m/>
    <m/>
    <m/>
    <m/>
    <m/>
    <m/>
    <m/>
    <m/>
    <m/>
  </r>
  <r>
    <x v="13"/>
    <s v="Texarkana College "/>
    <n v="228699"/>
    <x v="7"/>
    <n v="89665"/>
    <n v="96045"/>
    <n v="77824"/>
    <n v="81206"/>
    <n v="7822"/>
    <n v="8843"/>
    <n v="4007"/>
    <n v="12"/>
    <n v="0"/>
    <n v="5951"/>
    <n v="45"/>
    <n v="0"/>
    <m/>
    <m/>
    <n v="0"/>
    <n v="0"/>
    <m/>
    <m/>
    <m/>
    <m/>
    <m/>
    <m/>
    <m/>
    <m/>
    <m/>
    <m/>
    <m/>
    <m/>
  </r>
  <r>
    <x v="13"/>
    <s v="Texas State Technical College-Harlingen "/>
    <n v="229319"/>
    <x v="7"/>
    <n v="112465"/>
    <n v="125124"/>
    <n v="96409"/>
    <n v="105520"/>
    <n v="7105"/>
    <n v="8945"/>
    <n v="6761"/>
    <n v="2190"/>
    <n v="0"/>
    <n v="8724"/>
    <n v="1935"/>
    <n v="0"/>
    <m/>
    <m/>
    <n v="0"/>
    <n v="0"/>
    <m/>
    <m/>
    <m/>
    <m/>
    <m/>
    <m/>
    <m/>
    <m/>
    <m/>
    <m/>
    <m/>
    <m/>
  </r>
  <r>
    <x v="13"/>
    <s v="Texas State Technical College-Waco"/>
    <n v="228680"/>
    <x v="7"/>
    <n v="125460"/>
    <n v="149225"/>
    <n v="108847"/>
    <n v="127340"/>
    <n v="10248"/>
    <n v="15446"/>
    <n v="6308"/>
    <n v="0"/>
    <n v="57"/>
    <n v="6409"/>
    <n v="0"/>
    <n v="30"/>
    <m/>
    <m/>
    <n v="0"/>
    <n v="0"/>
    <m/>
    <m/>
    <m/>
    <m/>
    <m/>
    <m/>
    <m/>
    <m/>
    <m/>
    <m/>
    <m/>
    <m/>
  </r>
  <r>
    <x v="13"/>
    <s v="Trinity Valley Community College"/>
    <n v="225308"/>
    <x v="7"/>
    <n v="134065"/>
    <n v="144332"/>
    <n v="76965"/>
    <n v="84464"/>
    <n v="37542"/>
    <n v="36797"/>
    <n v="17524"/>
    <n v="2034"/>
    <n v="0"/>
    <n v="20923"/>
    <n v="2148"/>
    <n v="0"/>
    <m/>
    <m/>
    <n v="0"/>
    <n v="0"/>
    <m/>
    <m/>
    <m/>
    <m/>
    <m/>
    <m/>
    <m/>
    <m/>
    <m/>
    <m/>
    <m/>
    <m/>
  </r>
  <r>
    <x v="13"/>
    <s v="Vernon College "/>
    <n v="229504"/>
    <x v="7"/>
    <n v="57483"/>
    <n v="63948"/>
    <n v="9295"/>
    <n v="8763"/>
    <n v="26370"/>
    <n v="29946"/>
    <n v="16078"/>
    <n v="5740"/>
    <n v="0"/>
    <n v="18289"/>
    <n v="6950"/>
    <n v="0"/>
    <m/>
    <m/>
    <n v="0"/>
    <n v="0"/>
    <m/>
    <m/>
    <m/>
    <m/>
    <m/>
    <m/>
    <m/>
    <m/>
    <m/>
    <m/>
    <m/>
    <m/>
  </r>
  <r>
    <x v="13"/>
    <s v="Victoria College "/>
    <n v="229540"/>
    <x v="7"/>
    <n v="74228"/>
    <n v="75188"/>
    <n v="48337"/>
    <n v="48298"/>
    <n v="4904"/>
    <n v="5643"/>
    <n v="17856"/>
    <n v="3131"/>
    <n v="0"/>
    <n v="18155"/>
    <n v="3092"/>
    <n v="0"/>
    <m/>
    <m/>
    <n v="0"/>
    <n v="0"/>
    <m/>
    <m/>
    <m/>
    <m/>
    <m/>
    <m/>
    <m/>
    <m/>
    <m/>
    <m/>
    <m/>
    <m/>
  </r>
  <r>
    <x v="13"/>
    <s v="Weatherford College "/>
    <n v="229799"/>
    <x v="7"/>
    <n v="93510"/>
    <n v="105461"/>
    <n v="70052"/>
    <n v="77932"/>
    <n v="10679"/>
    <n v="10840"/>
    <n v="11760"/>
    <n v="764"/>
    <n v="255"/>
    <n v="14976"/>
    <n v="1713"/>
    <n v="0"/>
    <m/>
    <m/>
    <n v="0"/>
    <n v="0"/>
    <m/>
    <m/>
    <m/>
    <m/>
    <m/>
    <m/>
    <m/>
    <m/>
    <m/>
    <m/>
    <m/>
    <m/>
  </r>
  <r>
    <x v="13"/>
    <s v="Wharton County Junior College "/>
    <n v="229841"/>
    <x v="7"/>
    <n v="122424"/>
    <n v="131186"/>
    <n v="40482"/>
    <n v="42637"/>
    <n v="66698"/>
    <n v="70062"/>
    <n v="12495"/>
    <n v="2749"/>
    <n v="0"/>
    <n v="15438"/>
    <n v="3049"/>
    <n v="0"/>
    <m/>
    <m/>
    <n v="0"/>
    <n v="0"/>
    <m/>
    <m/>
    <m/>
    <m/>
    <m/>
    <m/>
    <m/>
    <m/>
    <m/>
    <m/>
    <m/>
    <m/>
  </r>
  <r>
    <x v="13"/>
    <s v="Cisco Junior College "/>
    <n v="223898"/>
    <x v="8"/>
    <n v="74913"/>
    <n v="82578"/>
    <n v="16970"/>
    <n v="15905"/>
    <n v="47645"/>
    <n v="49859"/>
    <n v="9233"/>
    <n v="1065"/>
    <n v="0"/>
    <n v="15740"/>
    <n v="1074"/>
    <n v="0"/>
    <m/>
    <m/>
    <n v="0"/>
    <n v="0"/>
    <m/>
    <m/>
    <m/>
    <m/>
    <m/>
    <m/>
    <m/>
    <m/>
    <m/>
    <m/>
    <m/>
    <m/>
  </r>
  <r>
    <x v="13"/>
    <s v="Clarendon College "/>
    <n v="223922"/>
    <x v="8"/>
    <n v="26899"/>
    <n v="30286"/>
    <n v="11179"/>
    <n v="11333"/>
    <n v="10891"/>
    <n v="12520"/>
    <n v="4469"/>
    <n v="144"/>
    <n v="216"/>
    <n v="6000"/>
    <n v="425"/>
    <n v="8"/>
    <m/>
    <m/>
    <n v="0"/>
    <n v="0"/>
    <m/>
    <m/>
    <m/>
    <m/>
    <m/>
    <m/>
    <m/>
    <m/>
    <m/>
    <m/>
    <m/>
    <m/>
  </r>
  <r>
    <x v="13"/>
    <s v="Frank Phillips College "/>
    <n v="224891"/>
    <x v="8"/>
    <n v="25735"/>
    <n v="24940"/>
    <n v="17303"/>
    <n v="17703"/>
    <n v="1798"/>
    <n v="1405"/>
    <n v="3261"/>
    <n v="0"/>
    <n v="3373"/>
    <n v="2440"/>
    <n v="0"/>
    <n v="3392"/>
    <m/>
    <m/>
    <n v="0"/>
    <n v="0"/>
    <m/>
    <m/>
    <m/>
    <m/>
    <m/>
    <m/>
    <m/>
    <m/>
    <m/>
    <m/>
    <m/>
    <m/>
  </r>
  <r>
    <x v="13"/>
    <s v="Galveston College "/>
    <n v="224961"/>
    <x v="8"/>
    <n v="41316"/>
    <n v="39651"/>
    <n v="40694"/>
    <n v="39286"/>
    <n v="0"/>
    <n v="0"/>
    <n v="622"/>
    <n v="0"/>
    <n v="0"/>
    <n v="365"/>
    <n v="0"/>
    <n v="0"/>
    <m/>
    <m/>
    <n v="0"/>
    <n v="0"/>
    <m/>
    <m/>
    <m/>
    <m/>
    <m/>
    <m/>
    <m/>
    <m/>
    <m/>
    <m/>
    <m/>
    <m/>
  </r>
  <r>
    <x v="13"/>
    <s v="Hill College"/>
    <n v="225371"/>
    <x v="8"/>
    <n v="73145"/>
    <n v="85677"/>
    <n v="17382"/>
    <n v="17698"/>
    <n v="36820"/>
    <n v="41183"/>
    <n v="17700"/>
    <n v="1243"/>
    <n v="0"/>
    <n v="25204"/>
    <n v="1592"/>
    <n v="0"/>
    <m/>
    <m/>
    <n v="0"/>
    <n v="0"/>
    <m/>
    <m/>
    <m/>
    <m/>
    <m/>
    <m/>
    <m/>
    <m/>
    <m/>
    <m/>
    <m/>
    <m/>
  </r>
  <r>
    <x v="13"/>
    <s v="Lamar State College-Orange"/>
    <n v="226107"/>
    <x v="8"/>
    <n v="43364"/>
    <n v="44460"/>
    <n v="37896"/>
    <n v="38320"/>
    <n v="1452"/>
    <n v="1656"/>
    <n v="4016"/>
    <n v="0"/>
    <n v="0"/>
    <n v="4484"/>
    <n v="0"/>
    <n v="0"/>
    <m/>
    <m/>
    <n v="0"/>
    <n v="0"/>
    <m/>
    <m/>
    <m/>
    <m/>
    <m/>
    <m/>
    <m/>
    <m/>
    <m/>
    <m/>
    <m/>
    <m/>
  </r>
  <r>
    <x v="13"/>
    <s v="Lamar State College-Port Arthur"/>
    <n v="226116"/>
    <x v="8"/>
    <n v="42313"/>
    <n v="43158"/>
    <n v="34579"/>
    <n v="34484"/>
    <n v="5389"/>
    <n v="5537"/>
    <n v="2345"/>
    <n v="0"/>
    <n v="0"/>
    <n v="3137"/>
    <n v="0"/>
    <n v="0"/>
    <m/>
    <m/>
    <n v="0"/>
    <n v="0"/>
    <m/>
    <m/>
    <m/>
    <m/>
    <m/>
    <m/>
    <m/>
    <m/>
    <m/>
    <m/>
    <m/>
    <m/>
  </r>
  <r>
    <x v="13"/>
    <s v="Northeast Lakeview College (ACCD)"/>
    <m/>
    <x v="8"/>
    <n v="6815"/>
    <n v="10161"/>
    <n v="6687"/>
    <n v="9643"/>
    <n v="0"/>
    <n v="0"/>
    <n v="128"/>
    <n v="0"/>
    <n v="0"/>
    <n v="518"/>
    <n v="0"/>
    <n v="0"/>
    <m/>
    <m/>
    <n v="0"/>
    <n v="0"/>
    <m/>
    <m/>
    <m/>
    <m/>
    <m/>
    <m/>
    <m/>
    <m/>
    <m/>
    <m/>
    <m/>
    <m/>
  </r>
  <r>
    <x v="13"/>
    <s v="Northeast Texas Community College "/>
    <n v="227225"/>
    <x v="8"/>
    <n v="54001"/>
    <n v="59189"/>
    <n v="46702"/>
    <n v="50054"/>
    <n v="783"/>
    <n v="927"/>
    <n v="6516"/>
    <n v="0"/>
    <n v="0"/>
    <n v="8193"/>
    <n v="15"/>
    <n v="0"/>
    <m/>
    <m/>
    <n v="0"/>
    <n v="0"/>
    <m/>
    <m/>
    <m/>
    <m/>
    <m/>
    <m/>
    <m/>
    <m/>
    <m/>
    <m/>
    <m/>
    <m/>
  </r>
  <r>
    <x v="13"/>
    <s v="Panola College"/>
    <n v="227386"/>
    <x v="8"/>
    <n v="41640"/>
    <n v="43235"/>
    <n v="23331"/>
    <n v="23627"/>
    <n v="7337"/>
    <n v="7830"/>
    <n v="9821"/>
    <n v="1151"/>
    <n v="0"/>
    <n v="10650"/>
    <n v="1128"/>
    <n v="0"/>
    <m/>
    <m/>
    <n v="0"/>
    <n v="0"/>
    <m/>
    <m/>
    <m/>
    <m/>
    <m/>
    <m/>
    <m/>
    <m/>
    <m/>
    <m/>
    <m/>
    <m/>
  </r>
  <r>
    <x v="13"/>
    <s v="Ranger College "/>
    <n v="227687"/>
    <x v="8"/>
    <n v="18882"/>
    <n v="18727"/>
    <n v="11378"/>
    <n v="10677"/>
    <n v="6198"/>
    <n v="6710"/>
    <n v="1091"/>
    <n v="215"/>
    <n v="0"/>
    <n v="806"/>
    <n v="534"/>
    <n v="0"/>
    <m/>
    <m/>
    <n v="0"/>
    <n v="0"/>
    <m/>
    <m/>
    <m/>
    <m/>
    <m/>
    <m/>
    <m/>
    <m/>
    <m/>
    <m/>
    <m/>
    <m/>
  </r>
  <r>
    <x v="13"/>
    <s v="Southwest Collegiate Institute for the Deaf (HCJCD)"/>
    <n v="382911"/>
    <x v="8"/>
    <n v="2083"/>
    <n v="2141"/>
    <n v="2059"/>
    <n v="2135"/>
    <n v="0"/>
    <n v="6"/>
    <n v="24"/>
    <n v="0"/>
    <n v="0"/>
    <n v="0"/>
    <n v="0"/>
    <n v="0"/>
    <m/>
    <m/>
    <n v="0"/>
    <n v="0"/>
    <m/>
    <m/>
    <m/>
    <m/>
    <m/>
    <m/>
    <m/>
    <m/>
    <m/>
    <m/>
    <m/>
    <m/>
  </r>
  <r>
    <x v="13"/>
    <s v="Texas State Technical College-Marshall"/>
    <n v="408394"/>
    <x v="8"/>
    <n v="17874"/>
    <n v="21188"/>
    <n v="10365"/>
    <n v="12860"/>
    <n v="1508"/>
    <n v="1566"/>
    <n v="6001"/>
    <n v="0"/>
    <n v="0"/>
    <n v="6762"/>
    <n v="0"/>
    <n v="0"/>
    <m/>
    <m/>
    <n v="0"/>
    <n v="0"/>
    <m/>
    <m/>
    <m/>
    <m/>
    <m/>
    <m/>
    <m/>
    <m/>
    <m/>
    <m/>
    <m/>
    <m/>
  </r>
  <r>
    <x v="13"/>
    <s v="Texas State Technical College-West Texas"/>
    <n v="229328"/>
    <x v="8"/>
    <n v="42967"/>
    <n v="43840"/>
    <n v="8441"/>
    <n v="9456"/>
    <n v="13887"/>
    <n v="11164"/>
    <n v="16662"/>
    <n v="1970"/>
    <n v="2007"/>
    <n v="21348"/>
    <n v="1035"/>
    <n v="837"/>
    <m/>
    <m/>
    <n v="0"/>
    <n v="0"/>
    <m/>
    <m/>
    <m/>
    <m/>
    <m/>
    <m/>
    <m/>
    <m/>
    <m/>
    <m/>
    <m/>
    <m/>
  </r>
  <r>
    <x v="13"/>
    <s v="Western Texas College "/>
    <n v="229832"/>
    <x v="8"/>
    <n v="41284"/>
    <n v="45714"/>
    <n v="12290"/>
    <n v="12706"/>
    <n v="8089"/>
    <n v="8672"/>
    <n v="15616"/>
    <n v="4332"/>
    <n v="957"/>
    <n v="19287"/>
    <n v="4668"/>
    <n v="381"/>
    <m/>
    <m/>
    <n v="0"/>
    <n v="0"/>
    <m/>
    <m/>
    <m/>
    <m/>
    <m/>
    <m/>
    <m/>
    <m/>
    <m/>
    <m/>
    <m/>
    <m/>
  </r>
  <r>
    <x v="13"/>
    <s v="TEXAS A&amp;M UNIV-CENTRAL TEXAS"/>
    <m/>
    <x v="13"/>
    <n v="0"/>
    <n v="9877"/>
    <m/>
    <n v="0"/>
    <m/>
    <n v="8383"/>
    <m/>
    <m/>
    <m/>
    <n v="1281"/>
    <n v="213"/>
    <n v="0"/>
    <m/>
    <m/>
    <n v="0"/>
    <n v="3560"/>
    <m/>
    <n v="0"/>
    <m/>
    <n v="3467"/>
    <m/>
    <m/>
    <m/>
    <n v="93"/>
    <n v="0"/>
    <n v="0"/>
    <m/>
    <m/>
  </r>
  <r>
    <x v="13"/>
    <s v="TEXAS A&amp;M UNIV-SAN ANTONIO"/>
    <m/>
    <x v="13"/>
    <n v="0"/>
    <n v="16090"/>
    <m/>
    <n v="15973"/>
    <m/>
    <n v="0"/>
    <m/>
    <m/>
    <m/>
    <n v="108"/>
    <n v="9"/>
    <n v="0"/>
    <m/>
    <m/>
    <n v="0"/>
    <n v="3913"/>
    <m/>
    <n v="3913"/>
    <m/>
    <n v="0"/>
    <m/>
    <m/>
    <m/>
    <n v="0"/>
    <n v="0"/>
    <n v="0"/>
    <m/>
    <m/>
  </r>
  <r>
    <x v="13"/>
    <s v="UNIV. OF NORTH TEXAS AT DALLAS"/>
    <m/>
    <x v="13"/>
    <n v="0"/>
    <n v="12575"/>
    <m/>
    <n v="12179"/>
    <m/>
    <n v="396"/>
    <m/>
    <m/>
    <m/>
    <n v="0"/>
    <n v="0"/>
    <n v="0"/>
    <m/>
    <m/>
    <n v="0"/>
    <n v="1704"/>
    <m/>
    <n v="1428"/>
    <m/>
    <n v="237"/>
    <m/>
    <m/>
    <m/>
    <n v="0"/>
    <n v="39"/>
    <n v="0"/>
    <m/>
    <m/>
  </r>
  <r>
    <x v="14"/>
    <s v="dummy"/>
    <m/>
    <x v="0"/>
    <m/>
    <m/>
    <m/>
    <m/>
    <m/>
    <m/>
    <m/>
    <m/>
    <m/>
    <m/>
    <m/>
    <m/>
    <m/>
    <m/>
    <n v="0"/>
    <n v="0"/>
    <m/>
    <m/>
    <m/>
    <m/>
    <m/>
    <m/>
    <m/>
    <m/>
    <m/>
    <m/>
    <m/>
    <m/>
  </r>
  <r>
    <x v="15"/>
    <s v="West Virginia University"/>
    <n v="238032"/>
    <x v="0"/>
    <n v="636145"/>
    <n v="643635"/>
    <n v="603440"/>
    <n v="603992"/>
    <n v="1154"/>
    <n v="700"/>
    <n v="28919"/>
    <n v="87"/>
    <n v="2536"/>
    <n v="36497"/>
    <n v="15"/>
    <n v="2431"/>
    <n v="9"/>
    <n v="0"/>
    <n v="111195"/>
    <n v="112343"/>
    <n v="74878"/>
    <n v="75674"/>
    <n v="12921"/>
    <n v="10214"/>
    <n v="20492"/>
    <n v="2317"/>
    <n v="587"/>
    <n v="22972"/>
    <n v="3003"/>
    <n v="480"/>
    <m/>
    <n v="0"/>
  </r>
  <r>
    <x v="15"/>
    <s v="Marshall University "/>
    <n v="237525"/>
    <x v="2"/>
    <n v="252632"/>
    <n v="254769"/>
    <n v="210543"/>
    <n v="209775"/>
    <n v="12193"/>
    <n v="13594"/>
    <n v="29827"/>
    <n v="69"/>
    <m/>
    <n v="31169"/>
    <n v="231"/>
    <n v="0"/>
    <m/>
    <n v="0"/>
    <n v="56858"/>
    <n v="55755"/>
    <n v="19008"/>
    <n v="18135"/>
    <n v="24396"/>
    <n v="24664"/>
    <n v="12218"/>
    <n v="1236"/>
    <m/>
    <n v="12077"/>
    <n v="879"/>
    <n v="0"/>
    <m/>
    <n v="0"/>
  </r>
  <r>
    <x v="15"/>
    <s v="Fairmont State University"/>
    <n v="237367"/>
    <x v="4"/>
    <n v="113530"/>
    <n v="115602"/>
    <n v="87816"/>
    <n v="88480"/>
    <n v="14664"/>
    <n v="14107"/>
    <n v="11050"/>
    <m/>
    <m/>
    <n v="13015"/>
    <n v="0"/>
    <n v="0"/>
    <m/>
    <n v="0"/>
    <n v="6242"/>
    <n v="5478"/>
    <n v="1440"/>
    <n v="1450"/>
    <m/>
    <n v="0"/>
    <n v="4802"/>
    <m/>
    <m/>
    <n v="4028"/>
    <n v="0"/>
    <n v="0"/>
    <m/>
    <n v="0"/>
  </r>
  <r>
    <x v="15"/>
    <s v="Bluefield State College "/>
    <n v="237215"/>
    <x v="5"/>
    <n v="50763"/>
    <n v="54284"/>
    <n v="34231"/>
    <n v="34197"/>
    <n v="4465"/>
    <n v="3558"/>
    <n v="10166"/>
    <n v="1889"/>
    <n v="12"/>
    <n v="13943"/>
    <n v="2577"/>
    <n v="9"/>
    <m/>
    <n v="0"/>
    <n v="0"/>
    <n v="0"/>
    <m/>
    <m/>
    <m/>
    <m/>
    <m/>
    <m/>
    <m/>
    <m/>
    <m/>
    <m/>
    <m/>
    <m/>
  </r>
  <r>
    <x v="15"/>
    <s v="Concord University "/>
    <n v="237330"/>
    <x v="5"/>
    <n v="79002"/>
    <n v="80430"/>
    <n v="68388"/>
    <n v="68289"/>
    <n v="9532"/>
    <n v="9617"/>
    <n v="721"/>
    <n v="361"/>
    <m/>
    <n v="2248"/>
    <n v="276"/>
    <n v="0"/>
    <m/>
    <n v="0"/>
    <n v="984"/>
    <n v="1971"/>
    <n v="87"/>
    <n v="156"/>
    <n v="6"/>
    <n v="267"/>
    <n v="891"/>
    <m/>
    <m/>
    <n v="1548"/>
    <n v="0"/>
    <n v="0"/>
    <m/>
    <n v="0"/>
  </r>
  <r>
    <x v="15"/>
    <s v="Glenville State College "/>
    <n v="237385"/>
    <x v="5"/>
    <n v="37334"/>
    <n v="40111"/>
    <n v="32683"/>
    <n v="33052"/>
    <n v="2032"/>
    <n v="3854"/>
    <n v="2619"/>
    <m/>
    <m/>
    <n v="3205"/>
    <n v="0"/>
    <n v="0"/>
    <m/>
    <n v="0"/>
    <n v="0"/>
    <n v="0"/>
    <m/>
    <m/>
    <m/>
    <m/>
    <m/>
    <m/>
    <m/>
    <m/>
    <m/>
    <m/>
    <m/>
    <m/>
  </r>
  <r>
    <x v="15"/>
    <s v="Shepherd University "/>
    <n v="237792"/>
    <x v="5"/>
    <n v="104117"/>
    <n v="107734"/>
    <n v="102180"/>
    <n v="106202"/>
    <m/>
    <n v="0"/>
    <n v="1937"/>
    <m/>
    <m/>
    <n v="1532"/>
    <n v="0"/>
    <n v="0"/>
    <m/>
    <n v="0"/>
    <n v="2966"/>
    <n v="3547"/>
    <n v="2948"/>
    <n v="3538"/>
    <m/>
    <n v="0"/>
    <n v="18"/>
    <m/>
    <m/>
    <n v="9"/>
    <n v="0"/>
    <n v="0"/>
    <m/>
    <n v="0"/>
  </r>
  <r>
    <x v="15"/>
    <s v="West Liberty University"/>
    <n v="237932"/>
    <x v="5"/>
    <n v="68564"/>
    <n v="72217"/>
    <n v="65541"/>
    <n v="67458"/>
    <n v="1970"/>
    <n v="2534"/>
    <n v="1053"/>
    <m/>
    <m/>
    <n v="2225"/>
    <n v="0"/>
    <n v="0"/>
    <m/>
    <n v="0"/>
    <n v="78"/>
    <n v="618"/>
    <n v="78"/>
    <n v="3"/>
    <m/>
    <n v="615"/>
    <m/>
    <m/>
    <m/>
    <n v="0"/>
    <n v="0"/>
    <n v="0"/>
    <m/>
    <n v="0"/>
  </r>
  <r>
    <x v="15"/>
    <s v="West Virginia State University "/>
    <n v="237899"/>
    <x v="5"/>
    <n v="72669"/>
    <n v="75949"/>
    <n v="67612"/>
    <n v="70128"/>
    <n v="2656"/>
    <n v="2169"/>
    <n v="2335"/>
    <n v="66"/>
    <m/>
    <n v="3652"/>
    <n v="0"/>
    <n v="0"/>
    <m/>
    <n v="0"/>
    <n v="630"/>
    <n v="618"/>
    <n v="594"/>
    <n v="618"/>
    <n v="36"/>
    <n v="0"/>
    <m/>
    <m/>
    <m/>
    <n v="0"/>
    <n v="0"/>
    <n v="0"/>
    <m/>
    <n v="0"/>
  </r>
  <r>
    <x v="15"/>
    <s v="West Virginia University Institute of Technology"/>
    <n v="237950"/>
    <x v="5"/>
    <n v="33099"/>
    <n v="31616"/>
    <n v="29524"/>
    <n v="28861"/>
    <n v="932"/>
    <n v="552"/>
    <n v="2430"/>
    <m/>
    <n v="213"/>
    <n v="2121"/>
    <n v="0"/>
    <n v="82"/>
    <m/>
    <n v="0"/>
    <n v="2"/>
    <n v="0"/>
    <n v="2"/>
    <m/>
    <m/>
    <m/>
    <m/>
    <m/>
    <m/>
    <m/>
    <m/>
    <m/>
    <m/>
    <m/>
  </r>
  <r>
    <x v="15"/>
    <s v="Potomac State College of West Virginia University"/>
    <n v="237701"/>
    <x v="11"/>
    <n v="36270"/>
    <n v="40545"/>
    <n v="32226"/>
    <n v="36171"/>
    <n v="3206"/>
    <n v="3335"/>
    <n v="826"/>
    <m/>
    <n v="12"/>
    <n v="1036"/>
    <n v="0"/>
    <n v="3"/>
    <m/>
    <n v="0"/>
    <n v="0"/>
    <n v="0"/>
    <m/>
    <m/>
    <m/>
    <m/>
    <m/>
    <m/>
    <m/>
    <m/>
    <m/>
    <m/>
    <m/>
    <m/>
  </r>
  <r>
    <x v="15"/>
    <s v="West Virginia University at Parkersburg"/>
    <n v="237686"/>
    <x v="11"/>
    <n v="84169"/>
    <n v="93550"/>
    <n v="53587"/>
    <n v="58188"/>
    <n v="13150"/>
    <n v="14527"/>
    <n v="16318"/>
    <m/>
    <n v="1114"/>
    <n v="19458"/>
    <n v="0"/>
    <n v="1377"/>
    <m/>
    <n v="0"/>
    <n v="0"/>
    <n v="0"/>
    <m/>
    <m/>
    <m/>
    <m/>
    <m/>
    <m/>
    <m/>
    <m/>
    <m/>
    <m/>
    <m/>
    <m/>
  </r>
  <r>
    <x v="15"/>
    <s v="Blue Ridge Community &amp; Technical College"/>
    <n v="446774"/>
    <x v="8"/>
    <n v="33268"/>
    <n v="40415"/>
    <n v="23235"/>
    <n v="27747"/>
    <n v="5108"/>
    <n v="6387"/>
    <n v="4925"/>
    <m/>
    <m/>
    <n v="6194"/>
    <n v="0"/>
    <n v="0"/>
    <m/>
    <n v="87"/>
    <n v="0"/>
    <n v="0"/>
    <m/>
    <m/>
    <m/>
    <m/>
    <m/>
    <m/>
    <m/>
    <m/>
    <m/>
    <m/>
    <m/>
    <m/>
  </r>
  <r>
    <x v="15"/>
    <s v="Bridgemont Community &amp; Technical College"/>
    <n v="445674"/>
    <x v="8"/>
    <n v="17376"/>
    <n v="16666"/>
    <n v="15620"/>
    <n v="14028"/>
    <n v="606"/>
    <n v="766"/>
    <n v="1084"/>
    <m/>
    <n v="66"/>
    <n v="1857"/>
    <n v="0"/>
    <n v="15"/>
    <m/>
    <n v="0"/>
    <n v="0"/>
    <n v="0"/>
    <m/>
    <m/>
    <m/>
    <m/>
    <m/>
    <m/>
    <m/>
    <m/>
    <m/>
    <m/>
    <m/>
    <m/>
  </r>
  <r>
    <x v="15"/>
    <s v="Eastern West Virginia Community &amp; Technical College"/>
    <n v="438708"/>
    <x v="8"/>
    <n v="6504"/>
    <n v="8901"/>
    <n v="2958"/>
    <n v="4146"/>
    <n v="1552"/>
    <n v="2405"/>
    <n v="1523"/>
    <n v="471"/>
    <m/>
    <n v="2065"/>
    <n v="285"/>
    <n v="0"/>
    <m/>
    <n v="0"/>
    <n v="0"/>
    <n v="0"/>
    <m/>
    <m/>
    <m/>
    <m/>
    <m/>
    <m/>
    <m/>
    <m/>
    <m/>
    <m/>
    <m/>
    <m/>
  </r>
  <r>
    <x v="15"/>
    <s v="Kanawha Valley Community &amp; Technical College"/>
    <n v="445018"/>
    <x v="8"/>
    <n v="38152"/>
    <n v="37468"/>
    <n v="35585"/>
    <n v="32838"/>
    <n v="779"/>
    <n v="1299"/>
    <n v="1788"/>
    <m/>
    <m/>
    <n v="3331"/>
    <n v="0"/>
    <n v="0"/>
    <m/>
    <n v="0"/>
    <n v="0"/>
    <n v="6"/>
    <m/>
    <n v="6"/>
    <m/>
    <n v="0"/>
    <m/>
    <m/>
    <m/>
    <n v="0"/>
    <n v="0"/>
    <n v="0"/>
    <m/>
    <n v="0"/>
  </r>
  <r>
    <x v="15"/>
    <s v="Marshall Community &amp; Technical College"/>
    <n v="444954"/>
    <x v="8"/>
    <n v="48126"/>
    <n v="56020"/>
    <n v="30255"/>
    <n v="30678"/>
    <n v="13383"/>
    <n v="19414"/>
    <n v="4464"/>
    <n v="24"/>
    <m/>
    <n v="5922"/>
    <n v="6"/>
    <n v="0"/>
    <m/>
    <n v="0"/>
    <n v="0"/>
    <n v="0"/>
    <m/>
    <m/>
    <m/>
    <m/>
    <m/>
    <m/>
    <m/>
    <m/>
    <m/>
    <m/>
    <m/>
    <m/>
  </r>
  <r>
    <x v="15"/>
    <s v="New River Community &amp; Technical College"/>
    <n v="447582"/>
    <x v="8"/>
    <n v="47327"/>
    <n v="56743"/>
    <n v="1371"/>
    <n v="20579"/>
    <n v="36561"/>
    <n v="23021"/>
    <n v="7425"/>
    <n v="1889"/>
    <n v="81"/>
    <n v="10374"/>
    <n v="2715"/>
    <n v="54"/>
    <m/>
    <n v="0"/>
    <n v="0"/>
    <n v="0"/>
    <m/>
    <m/>
    <m/>
    <m/>
    <m/>
    <m/>
    <m/>
    <m/>
    <m/>
    <m/>
    <m/>
    <m/>
  </r>
  <r>
    <x v="15"/>
    <s v="Pierpont Community &amp; Technical College"/>
    <n v="443492"/>
    <x v="8"/>
    <n v="56236"/>
    <n v="59426"/>
    <n v="29872"/>
    <n v="32313"/>
    <n v="21028"/>
    <n v="20648"/>
    <n v="5336"/>
    <m/>
    <m/>
    <n v="6465"/>
    <n v="0"/>
    <n v="0"/>
    <m/>
    <n v="0"/>
    <n v="0"/>
    <n v="0"/>
    <m/>
    <m/>
    <m/>
    <m/>
    <m/>
    <m/>
    <m/>
    <m/>
    <m/>
    <m/>
    <m/>
    <m/>
  </r>
  <r>
    <x v="15"/>
    <s v="Southern West Virginia Community &amp; Technical College "/>
    <n v="237817"/>
    <x v="8"/>
    <n v="49564"/>
    <n v="50791"/>
    <n v="38979"/>
    <n v="37691"/>
    <n v="4380"/>
    <n v="4148"/>
    <n v="4131"/>
    <n v="1933"/>
    <n v="57"/>
    <n v="5072"/>
    <n v="3784"/>
    <n v="96"/>
    <n v="84"/>
    <n v="0"/>
    <n v="0"/>
    <n v="0"/>
    <m/>
    <m/>
    <m/>
    <m/>
    <m/>
    <m/>
    <m/>
    <m/>
    <m/>
    <m/>
    <m/>
    <m/>
  </r>
  <r>
    <x v="15"/>
    <s v="West Virginia Northern Community College"/>
    <n v="238014"/>
    <x v="8"/>
    <n v="59171"/>
    <n v="65954"/>
    <n v="52244"/>
    <n v="56730"/>
    <m/>
    <n v="0"/>
    <n v="3745"/>
    <n v="3182"/>
    <m/>
    <n v="6424"/>
    <n v="2800"/>
    <n v="0"/>
    <m/>
    <n v="0"/>
    <n v="0"/>
    <n v="0"/>
    <m/>
    <m/>
    <m/>
    <m/>
    <m/>
    <m/>
    <m/>
    <m/>
    <m/>
    <m/>
    <m/>
    <m/>
  </r>
</pivotCacheRecords>
</file>

<file path=xl/pivotCache/pivotCacheRecords2.xml><?xml version="1.0" encoding="utf-8"?>
<pivotCacheRecords xmlns="http://schemas.openxmlformats.org/spreadsheetml/2006/main" xmlns:r="http://schemas.openxmlformats.org/officeDocument/2006/relationships" count="675">
  <r>
    <x v="0"/>
    <s v="Auburn University"/>
    <m/>
    <n v="100858"/>
    <x v="0"/>
    <n v="574277"/>
    <n v="585421"/>
    <n v="569896"/>
    <n v="580096"/>
    <n v="116"/>
    <n v="0"/>
    <n v="2705"/>
    <m/>
    <n v="1560"/>
    <n v="1917"/>
    <m/>
    <n v="3408"/>
    <m/>
    <m/>
    <n v="66819"/>
    <n v="92318"/>
    <n v="56999"/>
    <n v="79913"/>
    <n v="170"/>
    <n v="1957"/>
    <n v="2666"/>
    <m/>
    <n v="6984"/>
    <n v="423"/>
    <m/>
    <n v="10025"/>
    <m/>
    <m/>
  </r>
  <r>
    <x v="0"/>
    <s v="University of Alabama "/>
    <m/>
    <n v="100751"/>
    <x v="0"/>
    <n v="672971"/>
    <n v="701593"/>
    <n v="632701"/>
    <n v="661923"/>
    <n v="720"/>
    <n v="1606"/>
    <n v="38860"/>
    <n v="666"/>
    <m/>
    <n v="37563"/>
    <n v="477"/>
    <n v="24"/>
    <n v="24"/>
    <n v="0"/>
    <n v="91700"/>
    <n v="96154"/>
    <n v="72378"/>
    <n v="79946"/>
    <n v="5333"/>
    <n v="4819"/>
    <n v="13317"/>
    <n v="669"/>
    <m/>
    <n v="11034"/>
    <n v="334"/>
    <n v="21"/>
    <n v="3"/>
    <n v="0"/>
  </r>
  <r>
    <x v="0"/>
    <s v="University of Alabama at Birmingham"/>
    <s v="Met the criteria for Four-Year 2 in 2010-11."/>
    <n v="100663"/>
    <x v="0"/>
    <n v="253515"/>
    <n v="262748"/>
    <n v="239256"/>
    <n v="239632"/>
    <n v="218"/>
    <n v="535"/>
    <n v="13990"/>
    <n v="51"/>
    <m/>
    <n v="22479"/>
    <n v="102"/>
    <m/>
    <m/>
    <m/>
    <n v="44582"/>
    <n v="46951"/>
    <n v="41301"/>
    <n v="42472"/>
    <n v="377"/>
    <n v="604"/>
    <n v="2739"/>
    <n v="165"/>
    <m/>
    <n v="3638"/>
    <n v="237"/>
    <m/>
    <m/>
    <m/>
  </r>
  <r>
    <x v="0"/>
    <s v="University of Alabama in Huntsville"/>
    <s v="Met the criteria for Four-Year 3 in 2010-11."/>
    <n v="100706"/>
    <x v="1"/>
    <n v="157888"/>
    <n v="161061"/>
    <n v="156797"/>
    <n v="159070"/>
    <m/>
    <m/>
    <n v="1091"/>
    <m/>
    <m/>
    <n v="1985"/>
    <n v="6"/>
    <m/>
    <m/>
    <m/>
    <n v="21141"/>
    <n v="21952"/>
    <n v="17831"/>
    <n v="18372"/>
    <m/>
    <m/>
    <n v="3295"/>
    <m/>
    <n v="15"/>
    <n v="3535"/>
    <n v="33"/>
    <n v="12"/>
    <m/>
    <m/>
  </r>
  <r>
    <x v="0"/>
    <s v="Alabama Agricultural &amp; Mechanical University"/>
    <m/>
    <n v="100654"/>
    <x v="2"/>
    <n v="134580"/>
    <n v="134715"/>
    <n v="134580"/>
    <n v="134715"/>
    <m/>
    <m/>
    <m/>
    <m/>
    <m/>
    <m/>
    <m/>
    <m/>
    <m/>
    <m/>
    <n v="15534"/>
    <n v="15386"/>
    <n v="15534"/>
    <n v="15386"/>
    <m/>
    <m/>
    <m/>
    <m/>
    <m/>
    <m/>
    <m/>
    <m/>
    <m/>
    <m/>
  </r>
  <r>
    <x v="0"/>
    <s v="Jacksonville State University "/>
    <m/>
    <n v="101480"/>
    <x v="2"/>
    <n v="199573"/>
    <n v="206841"/>
    <n v="161404"/>
    <n v="162876"/>
    <n v="4611"/>
    <n v="5247"/>
    <n v="32156"/>
    <n v="1402"/>
    <m/>
    <n v="36116"/>
    <n v="2602"/>
    <n v="0"/>
    <m/>
    <m/>
    <n v="25211"/>
    <n v="24856"/>
    <n v="15763"/>
    <n v="14225"/>
    <n v="96"/>
    <n v="0"/>
    <n v="9352"/>
    <m/>
    <m/>
    <n v="10631"/>
    <n v="0"/>
    <n v="0"/>
    <m/>
    <n v="0"/>
  </r>
  <r>
    <x v="0"/>
    <s v="Troy University"/>
    <m/>
    <n v="102368"/>
    <x v="2"/>
    <n v="331279"/>
    <n v="347685"/>
    <n v="238849"/>
    <n v="244083"/>
    <n v="4110"/>
    <n v="4091"/>
    <n v="84495"/>
    <n v="168"/>
    <n v="3615"/>
    <n v="96506"/>
    <n v="0"/>
    <n v="2999"/>
    <n v="42"/>
    <n v="6"/>
    <n v="46083"/>
    <n v="46658"/>
    <n v="29945"/>
    <n v="29257"/>
    <n v="1702"/>
    <n v="1140"/>
    <n v="10854"/>
    <n v="239"/>
    <n v="3343"/>
    <n v="12989"/>
    <n v="416"/>
    <n v="2856"/>
    <m/>
    <n v="0"/>
  </r>
  <r>
    <x v="0"/>
    <s v="University of South Alabama"/>
    <m/>
    <n v="102094"/>
    <x v="2"/>
    <n v="265603"/>
    <n v="272728"/>
    <n v="254116"/>
    <n v="252814"/>
    <n v="414"/>
    <n v="661"/>
    <n v="11073"/>
    <m/>
    <m/>
    <n v="19253"/>
    <m/>
    <m/>
    <m/>
    <m/>
    <n v="18777"/>
    <n v="18705"/>
    <n v="14431"/>
    <n v="13849"/>
    <m/>
    <n v="0"/>
    <n v="4346"/>
    <m/>
    <m/>
    <n v="4856"/>
    <m/>
    <m/>
    <m/>
    <m/>
  </r>
  <r>
    <x v="0"/>
    <s v="Alabama State University "/>
    <m/>
    <n v="100724"/>
    <x v="3"/>
    <n v="142331"/>
    <n v="156404"/>
    <n v="141530"/>
    <n v="156083"/>
    <m/>
    <n v="0"/>
    <n v="801"/>
    <m/>
    <m/>
    <n v="321"/>
    <m/>
    <m/>
    <m/>
    <m/>
    <n v="16880"/>
    <n v="16986"/>
    <n v="14046"/>
    <n v="15888"/>
    <n v="1106"/>
    <n v="369"/>
    <n v="1383"/>
    <n v="345"/>
    <m/>
    <n v="687"/>
    <n v="42"/>
    <m/>
    <m/>
    <m/>
  </r>
  <r>
    <x v="0"/>
    <s v="Auburn University at Montgomery"/>
    <m/>
    <n v="100830"/>
    <x v="3"/>
    <n v="117469"/>
    <n v="122351"/>
    <n v="109377"/>
    <n v="105024"/>
    <n v="2370"/>
    <n v="2402"/>
    <n v="5722"/>
    <m/>
    <m/>
    <n v="14925"/>
    <m/>
    <m/>
    <m/>
    <m/>
    <n v="13716.5"/>
    <n v="16088"/>
    <n v="11827.5"/>
    <n v="11239"/>
    <n v="369"/>
    <n v="192"/>
    <n v="1520"/>
    <m/>
    <m/>
    <n v="4657"/>
    <m/>
    <m/>
    <m/>
    <m/>
  </r>
  <r>
    <x v="0"/>
    <s v="University of North Alabama"/>
    <m/>
    <n v="101879"/>
    <x v="3"/>
    <n v="153235"/>
    <n v="162883"/>
    <n v="132460"/>
    <n v="137854"/>
    <m/>
    <m/>
    <n v="20775"/>
    <m/>
    <m/>
    <n v="25029"/>
    <m/>
    <m/>
    <m/>
    <m/>
    <n v="16191"/>
    <n v="16055"/>
    <n v="9101"/>
    <n v="5288"/>
    <m/>
    <n v="5198"/>
    <n v="7090"/>
    <m/>
    <m/>
    <n v="5569"/>
    <m/>
    <m/>
    <m/>
    <m/>
  </r>
  <r>
    <x v="0"/>
    <s v="University of Montevallo"/>
    <m/>
    <n v="101709"/>
    <x v="4"/>
    <n v="73452"/>
    <n v="72994"/>
    <n v="73452"/>
    <n v="72049"/>
    <n v="0"/>
    <n v="219"/>
    <n v="0"/>
    <n v="0"/>
    <n v="0"/>
    <n v="726"/>
    <m/>
    <m/>
    <n v="0"/>
    <m/>
    <n v="8675"/>
    <n v="9559"/>
    <n v="8546"/>
    <n v="8706"/>
    <n v="129"/>
    <n v="462"/>
    <n v="0"/>
    <m/>
    <m/>
    <n v="391"/>
    <m/>
    <m/>
    <m/>
    <m/>
  </r>
  <r>
    <x v="0"/>
    <s v="University of West Alabama"/>
    <m/>
    <n v="101587"/>
    <x v="4"/>
    <n v="52099"/>
    <n v="50352"/>
    <n v="48536"/>
    <n v="46176"/>
    <n v="142"/>
    <n v="1108"/>
    <n v="3421"/>
    <m/>
    <m/>
    <n v="3068"/>
    <m/>
    <m/>
    <m/>
    <m/>
    <n v="86325"/>
    <n v="48336"/>
    <n v="42076"/>
    <n v="5619"/>
    <n v="93"/>
    <n v="186"/>
    <n v="44156"/>
    <m/>
    <m/>
    <n v="42531"/>
    <m/>
    <m/>
    <m/>
    <m/>
  </r>
  <r>
    <x v="0"/>
    <s v="Athens State University"/>
    <m/>
    <n v="100812"/>
    <x v="5"/>
    <n v="83699"/>
    <n v="89190"/>
    <n v="21333"/>
    <n v="22004"/>
    <n v="3807"/>
    <n v="4023"/>
    <n v="58559"/>
    <m/>
    <m/>
    <n v="63163"/>
    <m/>
    <m/>
    <m/>
    <m/>
    <n v="0"/>
    <n v="0"/>
    <m/>
    <m/>
    <m/>
    <m/>
    <m/>
    <m/>
    <m/>
    <m/>
    <m/>
    <m/>
    <m/>
    <m/>
  </r>
  <r>
    <x v="0"/>
    <s v="Jefferson State Community College"/>
    <m/>
    <n v="101505"/>
    <x v="6"/>
    <n v="179083"/>
    <n v="200118"/>
    <n v="125716"/>
    <n v="138726"/>
    <n v="20057"/>
    <n v="22704"/>
    <n v="31786"/>
    <n v="1524"/>
    <m/>
    <n v="36946"/>
    <n v="1742"/>
    <n v="0"/>
    <m/>
    <m/>
    <n v="0"/>
    <n v="0"/>
    <m/>
    <m/>
    <m/>
    <m/>
    <m/>
    <m/>
    <m/>
    <m/>
    <m/>
    <m/>
    <m/>
    <m/>
  </r>
  <r>
    <x v="0"/>
    <s v="John C. Calhoun State Community College "/>
    <m/>
    <n v="101514"/>
    <x v="6"/>
    <n v="220847"/>
    <n v="260777"/>
    <n v="192788"/>
    <n v="204487"/>
    <n v="4723"/>
    <n v="5767"/>
    <n v="22979"/>
    <m/>
    <n v="357"/>
    <n v="26187"/>
    <n v="0"/>
    <n v="24336"/>
    <n v="0"/>
    <m/>
    <n v="0"/>
    <n v="0"/>
    <m/>
    <m/>
    <m/>
    <m/>
    <m/>
    <m/>
    <m/>
    <m/>
    <m/>
    <m/>
    <m/>
    <m/>
  </r>
  <r>
    <x v="0"/>
    <s v="Bevill State Community College"/>
    <m/>
    <n v="102429"/>
    <x v="7"/>
    <n v="109772"/>
    <n v="121792"/>
    <n v="95577"/>
    <n v="34513"/>
    <n v="0"/>
    <n v="68105"/>
    <n v="9649"/>
    <n v="4375"/>
    <n v="0"/>
    <n v="13954"/>
    <n v="5220"/>
    <n v="0"/>
    <n v="171"/>
    <m/>
    <n v="0"/>
    <n v="0"/>
    <m/>
    <m/>
    <m/>
    <m/>
    <m/>
    <m/>
    <m/>
    <m/>
    <m/>
    <m/>
    <m/>
    <m/>
  </r>
  <r>
    <x v="0"/>
    <s v="Bishop State Community College"/>
    <m/>
    <n v="102030"/>
    <x v="7"/>
    <n v="76234"/>
    <n v="86410"/>
    <n v="64302"/>
    <n v="77376"/>
    <n v="5276"/>
    <n v="1819"/>
    <n v="6656"/>
    <n v="0"/>
    <s v=" "/>
    <n v="6411"/>
    <n v="0"/>
    <n v="804"/>
    <n v="0"/>
    <m/>
    <n v="0"/>
    <n v="0"/>
    <m/>
    <m/>
    <m/>
    <m/>
    <m/>
    <m/>
    <m/>
    <m/>
    <m/>
    <m/>
    <m/>
    <m/>
  </r>
  <r>
    <x v="0"/>
    <s v="Gadsden State Community College"/>
    <s v="Met criteria for Two-Year 1 in 2009-10 and 2010-11."/>
    <n v="101240"/>
    <x v="7"/>
    <n v="168603"/>
    <n v="182660"/>
    <n v="145036"/>
    <n v="755"/>
    <n v="0"/>
    <n v="145519"/>
    <n v="21840"/>
    <n v="293"/>
    <n v="1434"/>
    <n v="36200"/>
    <n v="120"/>
    <n v="66"/>
    <m/>
    <m/>
    <n v="0"/>
    <n v="0"/>
    <m/>
    <m/>
    <m/>
    <m/>
    <m/>
    <m/>
    <m/>
    <m/>
    <m/>
    <m/>
    <m/>
    <m/>
  </r>
  <r>
    <x v="0"/>
    <s v="George C. Wallace State Community College - Dothan"/>
    <m/>
    <n v="101286"/>
    <x v="7"/>
    <n v="113680"/>
    <n v="126601"/>
    <n v="100794"/>
    <n v="86556"/>
    <m/>
    <n v="19383"/>
    <n v="12886"/>
    <m/>
    <m/>
    <n v="20662"/>
    <n v="0"/>
    <n v="0"/>
    <m/>
    <m/>
    <n v="0"/>
    <n v="0"/>
    <m/>
    <m/>
    <m/>
    <m/>
    <m/>
    <m/>
    <m/>
    <m/>
    <m/>
    <m/>
    <m/>
    <m/>
  </r>
  <r>
    <x v="0"/>
    <s v="James H. Faulkner State Community College"/>
    <m/>
    <n v="101161"/>
    <x v="7"/>
    <n v="104705"/>
    <n v="118631"/>
    <n v="87175"/>
    <n v="53429"/>
    <m/>
    <n v="36131"/>
    <n v="17530"/>
    <n v="0"/>
    <n v="0"/>
    <n v="20440"/>
    <n v="0"/>
    <n v="8631"/>
    <n v="0"/>
    <m/>
    <n v="0"/>
    <n v="0"/>
    <m/>
    <m/>
    <m/>
    <m/>
    <m/>
    <m/>
    <m/>
    <m/>
    <m/>
    <m/>
    <m/>
    <m/>
  </r>
  <r>
    <x v="0"/>
    <s v="Lawson State Community College "/>
    <m/>
    <n v="101569"/>
    <x v="7"/>
    <n v="98638"/>
    <n v="116634"/>
    <n v="87788"/>
    <n v="101908"/>
    <n v="0"/>
    <n v="2948"/>
    <n v="10850"/>
    <n v="0"/>
    <n v="0"/>
    <n v="11762"/>
    <n v="0"/>
    <n v="16"/>
    <n v="0"/>
    <m/>
    <n v="0"/>
    <n v="0"/>
    <m/>
    <m/>
    <m/>
    <m/>
    <m/>
    <m/>
    <m/>
    <m/>
    <m/>
    <m/>
    <m/>
    <m/>
  </r>
  <r>
    <x v="0"/>
    <s v="Northwest-Shoals Community College"/>
    <m/>
    <n v="101736"/>
    <x v="7"/>
    <n v="97073"/>
    <n v="105919"/>
    <n v="80479"/>
    <n v="72232"/>
    <n v="6074"/>
    <n v="22230"/>
    <n v="9265"/>
    <n v="1255"/>
    <m/>
    <n v="7467"/>
    <n v="765"/>
    <n v="3225"/>
    <m/>
    <m/>
    <n v="0"/>
    <n v="0"/>
    <m/>
    <m/>
    <m/>
    <m/>
    <m/>
    <m/>
    <m/>
    <m/>
    <m/>
    <m/>
    <m/>
    <m/>
  </r>
  <r>
    <x v="0"/>
    <s v="Shelton State Community College"/>
    <s v="Met the criteria for Two-Year 1 in 2010-11."/>
    <n v="102067"/>
    <x v="7"/>
    <n v="143313"/>
    <n v="155348"/>
    <n v="137952"/>
    <n v="150719"/>
    <m/>
    <n v="170"/>
    <n v="5361"/>
    <m/>
    <m/>
    <n v="4459"/>
    <n v="0"/>
    <n v="0"/>
    <m/>
    <m/>
    <n v="0"/>
    <n v="0"/>
    <m/>
    <m/>
    <m/>
    <m/>
    <m/>
    <m/>
    <m/>
    <m/>
    <m/>
    <m/>
    <m/>
    <m/>
  </r>
  <r>
    <x v="0"/>
    <s v="Southern Union State Community College"/>
    <m/>
    <n v="251260"/>
    <x v="7"/>
    <n v="134492"/>
    <n v="133498"/>
    <n v="110679"/>
    <n v="15692"/>
    <n v="0"/>
    <n v="97219"/>
    <n v="12388"/>
    <n v="1278"/>
    <n v="6933"/>
    <n v="20449"/>
    <n v="138"/>
    <n v="0"/>
    <n v="3214"/>
    <m/>
    <n v="0"/>
    <n v="0"/>
    <m/>
    <m/>
    <m/>
    <m/>
    <m/>
    <m/>
    <m/>
    <m/>
    <m/>
    <m/>
    <m/>
    <m/>
  </r>
  <r>
    <x v="0"/>
    <s v="Wallace Community College - Hanceville"/>
    <s v="Met criteria for Two-Year 1 in 2009-10 and 2010-11."/>
    <n v="101295"/>
    <x v="7"/>
    <n v="157325"/>
    <n v="173062"/>
    <n v="129371"/>
    <n v="133878"/>
    <n v="3464"/>
    <n v="10663"/>
    <n v="23460"/>
    <n v="69"/>
    <n v="0"/>
    <n v="28437"/>
    <n v="0"/>
    <n v="84"/>
    <n v="961"/>
    <m/>
    <n v="0"/>
    <n v="0"/>
    <m/>
    <m/>
    <m/>
    <m/>
    <m/>
    <m/>
    <m/>
    <m/>
    <m/>
    <m/>
    <m/>
    <m/>
  </r>
  <r>
    <x v="0"/>
    <s v="Alabama Southern Community College"/>
    <m/>
    <n v="101949"/>
    <x v="8"/>
    <n v="36111"/>
    <n v="40476"/>
    <n v="34607"/>
    <n v="13590"/>
    <m/>
    <n v="25061"/>
    <n v="1504"/>
    <n v="0"/>
    <n v="0"/>
    <n v="1795"/>
    <n v="30"/>
    <n v="0"/>
    <n v="0"/>
    <m/>
    <n v="0"/>
    <n v="0"/>
    <m/>
    <m/>
    <m/>
    <m/>
    <n v="0"/>
    <m/>
    <m/>
    <m/>
    <m/>
    <m/>
    <m/>
    <m/>
  </r>
  <r>
    <x v="0"/>
    <s v="Central Alabama Community College"/>
    <s v="Met criteria for Two-Year 2 in 2009-10 and 2010-11."/>
    <n v="100760"/>
    <x v="8"/>
    <n v="61832"/>
    <n v="66449"/>
    <n v="52269"/>
    <n v="47181"/>
    <m/>
    <n v="7299"/>
    <n v="9563"/>
    <m/>
    <m/>
    <n v="11969"/>
    <n v="0"/>
    <n v="0"/>
    <m/>
    <m/>
    <n v="0"/>
    <n v="0"/>
    <m/>
    <m/>
    <m/>
    <m/>
    <m/>
    <m/>
    <m/>
    <m/>
    <m/>
    <m/>
    <m/>
    <m/>
  </r>
  <r>
    <x v="0"/>
    <s v="Chattahoochee Valley State Community College "/>
    <m/>
    <n v="101028"/>
    <x v="8"/>
    <n v="46069"/>
    <n v="43194"/>
    <n v="41426"/>
    <n v="38435"/>
    <m/>
    <n v="72"/>
    <n v="4643"/>
    <n v="0"/>
    <n v="0"/>
    <n v="4687"/>
    <n v="0"/>
    <n v="0"/>
    <m/>
    <m/>
    <n v="0"/>
    <n v="0"/>
    <m/>
    <m/>
    <m/>
    <m/>
    <m/>
    <m/>
    <m/>
    <m/>
    <m/>
    <m/>
    <m/>
    <m/>
  </r>
  <r>
    <x v="0"/>
    <s v="Enterprise-Ozark Community College"/>
    <s v="Met criteria for Two-Year 2 in 2009-10 and 2010-11."/>
    <n v="101143"/>
    <x v="8"/>
    <n v="72766"/>
    <n v="83509"/>
    <n v="63841"/>
    <n v="64010"/>
    <n v="2682"/>
    <n v="13473"/>
    <n v="6186"/>
    <m/>
    <n v="57"/>
    <n v="6026"/>
    <n v="0"/>
    <n v="0"/>
    <m/>
    <m/>
    <n v="0"/>
    <n v="0"/>
    <m/>
    <m/>
    <m/>
    <m/>
    <m/>
    <m/>
    <m/>
    <m/>
    <m/>
    <m/>
    <m/>
    <m/>
  </r>
  <r>
    <x v="0"/>
    <s v="George Corley Wallace State Community College - Selma"/>
    <m/>
    <n v="101301"/>
    <x v="8"/>
    <n v="51977"/>
    <n v="59867"/>
    <n v="34693"/>
    <n v="41098"/>
    <m/>
    <n v="0"/>
    <n v="17284"/>
    <m/>
    <m/>
    <n v="18769"/>
    <n v="0"/>
    <n v="0"/>
    <m/>
    <m/>
    <n v="0"/>
    <n v="0"/>
    <m/>
    <m/>
    <m/>
    <m/>
    <m/>
    <m/>
    <m/>
    <m/>
    <m/>
    <m/>
    <m/>
    <m/>
  </r>
  <r>
    <x v="0"/>
    <s v="Jefferson Davis Community College"/>
    <m/>
    <n v="101499"/>
    <x v="8"/>
    <n v="33239"/>
    <n v="35324"/>
    <n v="30063"/>
    <n v="15893"/>
    <n v="32"/>
    <n v="15180"/>
    <n v="3144"/>
    <m/>
    <m/>
    <n v="3925"/>
    <n v="0"/>
    <n v="326"/>
    <m/>
    <m/>
    <n v="0"/>
    <n v="0"/>
    <m/>
    <m/>
    <m/>
    <m/>
    <m/>
    <m/>
    <m/>
    <m/>
    <m/>
    <m/>
    <m/>
    <m/>
  </r>
  <r>
    <x v="0"/>
    <s v="Lurleen B. Wallace Community College "/>
    <m/>
    <n v="101602"/>
    <x v="8"/>
    <n v="45549"/>
    <n v="50595"/>
    <n v="35781"/>
    <n v="39334"/>
    <m/>
    <n v="1323"/>
    <n v="8047"/>
    <m/>
    <n v="1721"/>
    <n v="9551"/>
    <n v="0"/>
    <n v="387"/>
    <m/>
    <m/>
    <n v="0"/>
    <n v="0"/>
    <m/>
    <m/>
    <m/>
    <m/>
    <m/>
    <m/>
    <m/>
    <m/>
    <m/>
    <m/>
    <m/>
    <m/>
  </r>
  <r>
    <x v="0"/>
    <s v="Northeast Alabama State Community College "/>
    <s v="Reclassified: met the criteria for Two-Year 2 in 2008-09, 2009-10 and 2010-11."/>
    <n v="101897"/>
    <x v="7"/>
    <n v="77045"/>
    <n v="89336"/>
    <n v="57217"/>
    <n v="62932"/>
    <n v="3113"/>
    <n v="5581"/>
    <n v="16715"/>
    <m/>
    <m/>
    <n v="20823"/>
    <n v="0"/>
    <n v="0"/>
    <n v="0"/>
    <m/>
    <n v="0"/>
    <n v="0"/>
    <m/>
    <m/>
    <m/>
    <m/>
    <m/>
    <m/>
    <m/>
    <m/>
    <m/>
    <m/>
    <m/>
    <m/>
  </r>
  <r>
    <x v="0"/>
    <s v="Snead State Community College "/>
    <s v="Met the criteria for Two-Year 2 in 2010-11."/>
    <n v="102076"/>
    <x v="8"/>
    <n v="58109"/>
    <n v="63304"/>
    <n v="34616"/>
    <n v="35028"/>
    <n v="2313"/>
    <n v="2902"/>
    <n v="20853"/>
    <n v="327"/>
    <m/>
    <n v="24704"/>
    <n v="670"/>
    <n v="0"/>
    <m/>
    <m/>
    <n v="0"/>
    <n v="0"/>
    <m/>
    <m/>
    <m/>
    <m/>
    <m/>
    <m/>
    <m/>
    <m/>
    <m/>
    <m/>
    <m/>
    <m/>
  </r>
  <r>
    <x v="0"/>
    <s v="Trenholm State Technical College "/>
    <m/>
    <n v="102313"/>
    <x v="9"/>
    <n v="44426"/>
    <n v="49717"/>
    <n v="33661"/>
    <n v="20000"/>
    <n v="6214"/>
    <n v="25977"/>
    <n v="2560"/>
    <n v="0"/>
    <n v="1991"/>
    <n v="3740"/>
    <n v="0"/>
    <n v="0"/>
    <n v="0"/>
    <m/>
    <n v="0"/>
    <n v="0"/>
    <m/>
    <m/>
    <m/>
    <m/>
    <m/>
    <m/>
    <m/>
    <m/>
    <m/>
    <m/>
    <m/>
    <m/>
  </r>
  <r>
    <x v="0"/>
    <s v="J.F. Drake State Technical College "/>
    <s v="Met the criteria for Technical Institute 1 in 2010-11."/>
    <n v="101462"/>
    <x v="10"/>
    <n v="0"/>
    <n v="35342"/>
    <m/>
    <n v="29932"/>
    <m/>
    <n v="229"/>
    <m/>
    <m/>
    <m/>
    <n v="5181"/>
    <n v="0"/>
    <n v="0"/>
    <m/>
    <m/>
    <n v="0"/>
    <n v="0"/>
    <m/>
    <m/>
    <m/>
    <m/>
    <m/>
    <m/>
    <m/>
    <m/>
    <m/>
    <m/>
    <m/>
    <m/>
  </r>
  <r>
    <x v="0"/>
    <s v="J.F. Ingram State Technical College "/>
    <m/>
    <n v="101471"/>
    <x v="10"/>
    <n v="0"/>
    <n v="21172"/>
    <m/>
    <n v="6390"/>
    <m/>
    <n v="14782"/>
    <m/>
    <m/>
    <m/>
    <n v="0"/>
    <n v="0"/>
    <n v="0"/>
    <m/>
    <m/>
    <n v="0"/>
    <n v="0"/>
    <m/>
    <m/>
    <m/>
    <m/>
    <m/>
    <m/>
    <m/>
    <m/>
    <m/>
    <m/>
    <m/>
    <m/>
  </r>
  <r>
    <x v="0"/>
    <s v="Reid State Technical College "/>
    <m/>
    <n v="101994"/>
    <x v="10"/>
    <n v="20285"/>
    <n v="22821"/>
    <n v="20285"/>
    <n v="20039"/>
    <n v="0"/>
    <n v="1507"/>
    <n v="0"/>
    <n v="0"/>
    <n v="0"/>
    <n v="1275"/>
    <n v="0"/>
    <n v="0"/>
    <n v="0"/>
    <m/>
    <n v="0"/>
    <n v="0"/>
    <m/>
    <m/>
    <m/>
    <m/>
    <n v="0"/>
    <m/>
    <m/>
    <m/>
    <m/>
    <m/>
    <m/>
    <m/>
  </r>
  <r>
    <x v="1"/>
    <s v="University of Arkansas, Fayetteville"/>
    <m/>
    <n v="106397"/>
    <x v="0"/>
    <n v="440897"/>
    <n v="473313"/>
    <n v="421855"/>
    <n v="446738"/>
    <n v="9878"/>
    <n v="11466"/>
    <n v="8538"/>
    <n v="539"/>
    <n v="87"/>
    <n v="14325"/>
    <n v="604"/>
    <n v="180"/>
    <m/>
    <m/>
    <n v="72232"/>
    <n v="75584"/>
    <n v="56028"/>
    <n v="57001"/>
    <n v="3127"/>
    <n v="3516"/>
    <n v="10838"/>
    <n v="126"/>
    <n v="2113"/>
    <n v="11380"/>
    <n v="18"/>
    <n v="3669"/>
    <m/>
    <m/>
  </r>
  <r>
    <x v="1"/>
    <s v="Arkansas State University"/>
    <m/>
    <n v="106458"/>
    <x v="2"/>
    <n v="261694"/>
    <n v="271259"/>
    <n v="198522"/>
    <n v="193882"/>
    <n v="22250"/>
    <n v="25846"/>
    <n v="36133"/>
    <n v="4692"/>
    <n v="97"/>
    <n v="47081"/>
    <n v="4450"/>
    <n v="0"/>
    <m/>
    <m/>
    <n v="41660"/>
    <n v="69309"/>
    <n v="21519"/>
    <n v="23853"/>
    <n v="389"/>
    <n v="138"/>
    <n v="19461"/>
    <n v="189"/>
    <n v="102"/>
    <n v="44950"/>
    <n v="263"/>
    <n v="105"/>
    <m/>
    <m/>
  </r>
  <r>
    <x v="1"/>
    <s v="University of Arkansas at Little Rock"/>
    <m/>
    <n v="106245"/>
    <x v="2"/>
    <n v="224625"/>
    <n v="232943"/>
    <n v="152131"/>
    <n v="156894"/>
    <n v="17654"/>
    <n v="17874"/>
    <n v="54492"/>
    <n v="0"/>
    <n v="348"/>
    <n v="58175"/>
    <m/>
    <n v="0"/>
    <m/>
    <m/>
    <n v="51282"/>
    <n v="51489"/>
    <n v="26673"/>
    <n v="25970"/>
    <n v="12882"/>
    <n v="13569"/>
    <n v="11655"/>
    <m/>
    <n v="72"/>
    <n v="11950"/>
    <n v="0"/>
    <n v="0"/>
    <m/>
    <m/>
  </r>
  <r>
    <x v="1"/>
    <s v="University of Central Arkansas "/>
    <m/>
    <n v="106704"/>
    <x v="2"/>
    <n v="287999"/>
    <n v="274416"/>
    <n v="265513"/>
    <n v="258786"/>
    <n v="12209"/>
    <n v="6177"/>
    <n v="0"/>
    <n v="2"/>
    <n v="9673"/>
    <n v="4513"/>
    <n v="4240"/>
    <n v="0"/>
    <n v="602"/>
    <n v="700"/>
    <n v="34172"/>
    <n v="32999"/>
    <n v="24327"/>
    <n v="23605"/>
    <n v="1452"/>
    <n v="1662"/>
    <m/>
    <n v="258"/>
    <n v="8084"/>
    <n v="3406"/>
    <n v="4326"/>
    <n v="0"/>
    <n v="51"/>
    <m/>
  </r>
  <r>
    <x v="1"/>
    <s v="Arkansas Tech University"/>
    <s v="Met the criteria for Four-Year 3 in 2010-11."/>
    <n v="106467"/>
    <x v="3"/>
    <n v="188683"/>
    <n v="208684"/>
    <n v="155162"/>
    <n v="163408"/>
    <n v="8316"/>
    <n v="14672"/>
    <n v="25205"/>
    <m/>
    <m/>
    <n v="30604"/>
    <m/>
    <n v="0"/>
    <m/>
    <m/>
    <n v="8965"/>
    <n v="11684"/>
    <n v="5235"/>
    <n v="5676"/>
    <n v="659"/>
    <n v="1046"/>
    <n v="3056"/>
    <n v="15"/>
    <m/>
    <n v="4770"/>
    <n v="192"/>
    <n v="0"/>
    <m/>
    <m/>
  </r>
  <r>
    <x v="1"/>
    <s v="Henderson State University"/>
    <m/>
    <n v="107071"/>
    <x v="3"/>
    <n v="87055"/>
    <n v="93335"/>
    <n v="80572"/>
    <n v="85117"/>
    <n v="692"/>
    <n v="723"/>
    <n v="5791"/>
    <m/>
    <n v="0"/>
    <n v="3567"/>
    <n v="3224"/>
    <n v="704"/>
    <m/>
    <m/>
    <n v="11893"/>
    <n v="8648"/>
    <n v="8470"/>
    <n v="7097"/>
    <n v="3303"/>
    <n v="1197"/>
    <n v="120"/>
    <m/>
    <m/>
    <n v="78"/>
    <n v="255"/>
    <n v="21"/>
    <m/>
    <m/>
  </r>
  <r>
    <x v="1"/>
    <s v="Southern Arkansas University"/>
    <s v="Met the criteria for Four-Year 4 in 2009-10 and 2010-11."/>
    <n v="107983"/>
    <x v="4"/>
    <n v="76071"/>
    <n v="81946"/>
    <n v="67441"/>
    <n v="72159"/>
    <n v="2096"/>
    <n v="2199"/>
    <n v="6216"/>
    <n v="318"/>
    <m/>
    <n v="7405"/>
    <n v="183"/>
    <n v="0"/>
    <m/>
    <m/>
    <n v="8157"/>
    <n v="8038"/>
    <n v="3456"/>
    <n v="2720"/>
    <n v="246"/>
    <n v="224"/>
    <n v="4455"/>
    <m/>
    <m/>
    <n v="5094"/>
    <n v="0"/>
    <n v="0"/>
    <m/>
    <m/>
  </r>
  <r>
    <x v="1"/>
    <s v="University of Arkansas at Monticello"/>
    <m/>
    <n v="106485"/>
    <x v="4"/>
    <n v="67572"/>
    <n v="70587"/>
    <n v="57677"/>
    <n v="59569"/>
    <n v="925"/>
    <n v="1124"/>
    <n v="6543"/>
    <n v="2427"/>
    <m/>
    <n v="7461"/>
    <n v="927"/>
    <n v="1506"/>
    <m/>
    <m/>
    <n v="2120"/>
    <n v="2591"/>
    <n v="1145"/>
    <n v="1290"/>
    <n v="6"/>
    <n v="15"/>
    <n v="969"/>
    <m/>
    <m/>
    <n v="1286"/>
    <n v="0"/>
    <n v="0"/>
    <m/>
    <m/>
  </r>
  <r>
    <x v="1"/>
    <s v="University of Arkansas at Fort Smith"/>
    <m/>
    <n v="108092"/>
    <x v="5"/>
    <n v="174359"/>
    <n v="188801"/>
    <n v="148245"/>
    <n v="163192"/>
    <n v="2064"/>
    <n v="2253"/>
    <n v="23792"/>
    <n v="258"/>
    <m/>
    <n v="22900"/>
    <n v="456"/>
    <n v="0"/>
    <m/>
    <m/>
    <n v="0"/>
    <n v="0"/>
    <m/>
    <n v="0"/>
    <m/>
    <n v="0"/>
    <m/>
    <m/>
    <m/>
    <n v="0"/>
    <n v="0"/>
    <n v="0"/>
    <m/>
    <m/>
  </r>
  <r>
    <x v="1"/>
    <s v="University of Arkansas at Pine Bluff"/>
    <s v="Met the criteria for Four-Year 5 in 2010-11."/>
    <n v="106412"/>
    <x v="5"/>
    <n v="99114"/>
    <n v="95470"/>
    <n v="90011"/>
    <n v="87105"/>
    <n v="2982"/>
    <n v="1627"/>
    <n v="0"/>
    <n v="6121"/>
    <m/>
    <m/>
    <n v="6738"/>
    <n v="0"/>
    <m/>
    <m/>
    <n v="2217"/>
    <n v="2132"/>
    <n v="1890"/>
    <n v="1715"/>
    <m/>
    <n v="0"/>
    <m/>
    <n v="327"/>
    <m/>
    <m/>
    <n v="417"/>
    <m/>
    <m/>
    <m/>
  </r>
  <r>
    <x v="1"/>
    <s v="Pulaski Technical College"/>
    <m/>
    <n v="107664"/>
    <x v="6"/>
    <n v="212397"/>
    <n v="246096"/>
    <n v="150112"/>
    <n v="168189"/>
    <n v="0"/>
    <n v="0"/>
    <n v="62285"/>
    <m/>
    <m/>
    <n v="77907"/>
    <m/>
    <n v="0"/>
    <m/>
    <m/>
    <n v="0"/>
    <n v="0"/>
    <m/>
    <n v="0"/>
    <m/>
    <n v="0"/>
    <m/>
    <m/>
    <m/>
    <m/>
    <m/>
    <m/>
    <m/>
    <m/>
  </r>
  <r>
    <x v="1"/>
    <s v="Arkansas State University-Beebe"/>
    <m/>
    <n v="106449"/>
    <x v="7"/>
    <n v="100997"/>
    <n v="106220"/>
    <n v="58966"/>
    <n v="75881"/>
    <n v="22920"/>
    <n v="7938"/>
    <n v="19111"/>
    <m/>
    <m/>
    <n v="22401"/>
    <m/>
    <n v="0"/>
    <m/>
    <m/>
    <n v="0"/>
    <n v="0"/>
    <m/>
    <n v="0"/>
    <m/>
    <n v="0"/>
    <m/>
    <m/>
    <m/>
    <m/>
    <m/>
    <m/>
    <m/>
    <m/>
  </r>
  <r>
    <x v="1"/>
    <s v="Northwest Arkansas Community College "/>
    <s v="Met the criteria for Two-Year 1 in 2009-10 and 2010-11."/>
    <n v="367459"/>
    <x v="7"/>
    <n v="153367"/>
    <n v="171087"/>
    <n v="103268"/>
    <n v="116236"/>
    <n v="19143"/>
    <n v="19775"/>
    <n v="3183"/>
    <n v="535"/>
    <n v="27238"/>
    <n v="16044"/>
    <n v="18149"/>
    <n v="883"/>
    <m/>
    <m/>
    <n v="0"/>
    <n v="0"/>
    <m/>
    <n v="0"/>
    <m/>
    <n v="0"/>
    <m/>
    <m/>
    <m/>
    <m/>
    <m/>
    <m/>
    <m/>
    <m/>
  </r>
  <r>
    <x v="1"/>
    <s v="Arkansas Northeastern College"/>
    <m/>
    <n v="107327"/>
    <x v="8"/>
    <n v="42729"/>
    <n v="45187"/>
    <n v="32505"/>
    <n v="33733"/>
    <n v="3797"/>
    <n v="3649"/>
    <n v="5996"/>
    <n v="431"/>
    <m/>
    <n v="6854"/>
    <n v="951"/>
    <n v="0"/>
    <m/>
    <m/>
    <n v="0"/>
    <n v="0"/>
    <m/>
    <n v="0"/>
    <m/>
    <n v="0"/>
    <m/>
    <m/>
    <m/>
    <m/>
    <m/>
    <m/>
    <m/>
    <m/>
  </r>
  <r>
    <x v="1"/>
    <s v="Arkansas State University Mountain Home"/>
    <m/>
    <n v="420538"/>
    <x v="8"/>
    <n v="32124"/>
    <n v="37542"/>
    <n v="22507"/>
    <n v="24556"/>
    <n v="950"/>
    <n v="1198"/>
    <n v="8383"/>
    <n v="284"/>
    <m/>
    <n v="11335"/>
    <n v="453"/>
    <n v="0"/>
    <m/>
    <m/>
    <n v="0"/>
    <n v="0"/>
    <m/>
    <n v="0"/>
    <m/>
    <n v="0"/>
    <m/>
    <m/>
    <m/>
    <m/>
    <m/>
    <m/>
    <m/>
    <m/>
  </r>
  <r>
    <x v="1"/>
    <s v="Arkansas State University-Newport"/>
    <m/>
    <n v="440402"/>
    <x v="8"/>
    <n v="41054"/>
    <n v="46758"/>
    <n v="14767"/>
    <n v="10605"/>
    <n v="12689"/>
    <n v="17827"/>
    <n v="13598"/>
    <m/>
    <m/>
    <n v="17723"/>
    <n v="603"/>
    <n v="0"/>
    <m/>
    <m/>
    <n v="0"/>
    <n v="0"/>
    <m/>
    <n v="0"/>
    <m/>
    <n v="0"/>
    <m/>
    <m/>
    <m/>
    <m/>
    <m/>
    <m/>
    <m/>
    <m/>
  </r>
  <r>
    <x v="1"/>
    <s v="Black River Technical College"/>
    <s v="Met the criteria for Two-Year 2 in 2010-11."/>
    <n v="106625"/>
    <x v="8"/>
    <n v="51194"/>
    <n v="60662"/>
    <n v="29483"/>
    <n v="30781"/>
    <n v="11761"/>
    <n v="17554"/>
    <n v="8308"/>
    <n v="1642"/>
    <m/>
    <n v="10602"/>
    <n v="1725"/>
    <n v="0"/>
    <m/>
    <m/>
    <n v="0"/>
    <n v="0"/>
    <m/>
    <n v="0"/>
    <m/>
    <n v="0"/>
    <m/>
    <m/>
    <m/>
    <m/>
    <m/>
    <m/>
    <m/>
    <m/>
  </r>
  <r>
    <x v="1"/>
    <s v="Cossatot Community College of the University of Arkansas"/>
    <m/>
    <n v="106795"/>
    <x v="8"/>
    <n v="27409"/>
    <n v="32202"/>
    <n v="6607"/>
    <n v="7179"/>
    <n v="7945"/>
    <n v="9939"/>
    <n v="9743"/>
    <n v="3114"/>
    <m/>
    <n v="11610"/>
    <n v="3474"/>
    <n v="0"/>
    <m/>
    <m/>
    <n v="0"/>
    <n v="0"/>
    <m/>
    <n v="0"/>
    <m/>
    <n v="0"/>
    <m/>
    <m/>
    <m/>
    <m/>
    <m/>
    <m/>
    <m/>
    <m/>
  </r>
  <r>
    <x v="1"/>
    <s v="East Arkansas Community College "/>
    <m/>
    <n v="106883"/>
    <x v="8"/>
    <n v="31764"/>
    <n v="32115"/>
    <n v="19955"/>
    <n v="18957"/>
    <n v="6150"/>
    <n v="6564"/>
    <n v="4698"/>
    <n v="961"/>
    <m/>
    <n v="5373"/>
    <n v="1221"/>
    <n v="0"/>
    <m/>
    <m/>
    <n v="0"/>
    <n v="0"/>
    <m/>
    <n v="0"/>
    <m/>
    <n v="0"/>
    <m/>
    <m/>
    <m/>
    <m/>
    <m/>
    <m/>
    <m/>
    <m/>
  </r>
  <r>
    <x v="1"/>
    <s v="Mid-South Community College "/>
    <m/>
    <n v="107318"/>
    <x v="8"/>
    <n v="35042"/>
    <n v="43515"/>
    <n v="34533"/>
    <n v="40723"/>
    <s v=" "/>
    <n v="637"/>
    <n v="509"/>
    <m/>
    <m/>
    <n v="2155"/>
    <m/>
    <m/>
    <m/>
    <m/>
    <n v="0"/>
    <n v="0"/>
    <m/>
    <n v="0"/>
    <m/>
    <n v="0"/>
    <m/>
    <m/>
    <m/>
    <m/>
    <m/>
    <m/>
    <m/>
    <m/>
  </r>
  <r>
    <x v="1"/>
    <s v="National Park Community College"/>
    <s v="Reclassifed: met the criteria for Two-Year 2 in 2008-09, 2009-10 and 2010-11."/>
    <n v="106980"/>
    <x v="7"/>
    <n v="71397"/>
    <n v="86836"/>
    <n v="61153"/>
    <n v="74118"/>
    <n v="3629"/>
    <n v="3577"/>
    <n v="6615"/>
    <m/>
    <m/>
    <n v="3980"/>
    <n v="5161"/>
    <m/>
    <m/>
    <m/>
    <n v="0"/>
    <n v="0"/>
    <m/>
    <n v="0"/>
    <m/>
    <n v="0"/>
    <m/>
    <m/>
    <m/>
    <m/>
    <m/>
    <m/>
    <m/>
    <m/>
  </r>
  <r>
    <x v="1"/>
    <s v="North Arkansas College"/>
    <m/>
    <n v="107460"/>
    <x v="8"/>
    <n v="53370"/>
    <n v="56913"/>
    <n v="46711"/>
    <n v="50019"/>
    <n v="2412"/>
    <n v="2457"/>
    <n v="4247"/>
    <m/>
    <m/>
    <n v="4437"/>
    <m/>
    <m/>
    <m/>
    <m/>
    <n v="0"/>
    <n v="0"/>
    <m/>
    <n v="0"/>
    <m/>
    <n v="0"/>
    <m/>
    <m/>
    <m/>
    <m/>
    <m/>
    <m/>
    <m/>
    <m/>
  </r>
  <r>
    <x v="1"/>
    <s v="Ouachita Technical College "/>
    <m/>
    <n v="107521"/>
    <x v="8"/>
    <n v="28519"/>
    <n v="28831"/>
    <n v="20362"/>
    <n v="21647"/>
    <n v="2514"/>
    <n v="2228"/>
    <n v="5499"/>
    <n v="144"/>
    <m/>
    <n v="3671"/>
    <n v="1285"/>
    <m/>
    <m/>
    <m/>
    <n v="0"/>
    <n v="0"/>
    <m/>
    <n v="0"/>
    <m/>
    <n v="0"/>
    <m/>
    <m/>
    <m/>
    <m/>
    <m/>
    <m/>
    <m/>
    <m/>
  </r>
  <r>
    <x v="1"/>
    <s v="Ozarka College "/>
    <m/>
    <n v="107549"/>
    <x v="8"/>
    <n v="28729"/>
    <n v="33890"/>
    <n v="18811"/>
    <n v="21744"/>
    <n v="1218"/>
    <n v="1824"/>
    <n v="6365"/>
    <n v="2335"/>
    <m/>
    <n v="8263"/>
    <n v="2059"/>
    <m/>
    <m/>
    <m/>
    <n v="0"/>
    <n v="0"/>
    <m/>
    <n v="0"/>
    <m/>
    <n v="0"/>
    <m/>
    <m/>
    <m/>
    <m/>
    <m/>
    <m/>
    <m/>
    <m/>
  </r>
  <r>
    <x v="1"/>
    <s v="Phillips Community College of the Univ of Arkansas"/>
    <m/>
    <n v="107619"/>
    <x v="8"/>
    <n v="40915"/>
    <n v="41430"/>
    <n v="33242"/>
    <n v="36982"/>
    <n v="3612"/>
    <n v="0"/>
    <n v="2709"/>
    <n v="1352"/>
    <m/>
    <n v="2932"/>
    <n v="1428"/>
    <n v="88"/>
    <m/>
    <m/>
    <n v="0"/>
    <n v="0"/>
    <m/>
    <n v="0"/>
    <m/>
    <n v="0"/>
    <m/>
    <m/>
    <m/>
    <m/>
    <m/>
    <m/>
    <m/>
    <m/>
  </r>
  <r>
    <x v="1"/>
    <s v="Rich Mountain Community College "/>
    <m/>
    <n v="107743"/>
    <x v="8"/>
    <n v="19075"/>
    <n v="20112"/>
    <n v="13693"/>
    <n v="13667"/>
    <n v="4821"/>
    <n v="4577"/>
    <n v="0"/>
    <n v="561"/>
    <m/>
    <n v="1478"/>
    <n v="126"/>
    <n v="264"/>
    <m/>
    <m/>
    <n v="0"/>
    <n v="0"/>
    <m/>
    <n v="0"/>
    <m/>
    <n v="0"/>
    <m/>
    <m/>
    <m/>
    <m/>
    <m/>
    <m/>
    <m/>
    <m/>
  </r>
  <r>
    <x v="1"/>
    <s v="South Arkansas Community College"/>
    <m/>
    <n v="107974"/>
    <x v="8"/>
    <n v="37833"/>
    <n v="40831"/>
    <n v="30962"/>
    <n v="33339"/>
    <n v="1303"/>
    <n v="180"/>
    <n v="5468"/>
    <m/>
    <m/>
    <n v="7312"/>
    <m/>
    <m/>
    <n v="100"/>
    <m/>
    <n v="0"/>
    <n v="0"/>
    <m/>
    <n v="0"/>
    <m/>
    <n v="0"/>
    <m/>
    <m/>
    <m/>
    <m/>
    <m/>
    <m/>
    <m/>
    <m/>
  </r>
  <r>
    <x v="1"/>
    <s v="Southeast Arkansas College"/>
    <m/>
    <n v="107637"/>
    <x v="8"/>
    <n v="46305"/>
    <n v="49137"/>
    <n v="40418"/>
    <n v="42484"/>
    <n v="3169"/>
    <n v="2381"/>
    <n v="2718"/>
    <m/>
    <m/>
    <n v="4272"/>
    <m/>
    <m/>
    <m/>
    <m/>
    <n v="0"/>
    <n v="0"/>
    <m/>
    <n v="0"/>
    <m/>
    <n v="0"/>
    <m/>
    <m/>
    <m/>
    <m/>
    <m/>
    <m/>
    <m/>
    <m/>
  </r>
  <r>
    <x v="1"/>
    <s v="Southern Arkansas University Tech"/>
    <m/>
    <n v="107992"/>
    <x v="8"/>
    <n v="41625"/>
    <n v="39285"/>
    <n v="17056"/>
    <n v="17445"/>
    <n v="15604"/>
    <n v="11619"/>
    <n v="0"/>
    <m/>
    <n v="8965"/>
    <m/>
    <n v="10221"/>
    <m/>
    <m/>
    <m/>
    <n v="0"/>
    <n v="0"/>
    <m/>
    <n v="0"/>
    <m/>
    <n v="0"/>
    <m/>
    <m/>
    <m/>
    <m/>
    <m/>
    <m/>
    <m/>
    <m/>
  </r>
  <r>
    <x v="1"/>
    <s v="University of Arkansas Community College at Batesville"/>
    <m/>
    <n v="106999"/>
    <x v="8"/>
    <n v="39712"/>
    <n v="41477"/>
    <n v="33017"/>
    <n v="34434"/>
    <n v="438"/>
    <n v="534"/>
    <n v="6257"/>
    <m/>
    <m/>
    <n v="6509"/>
    <m/>
    <m/>
    <m/>
    <m/>
    <n v="0"/>
    <n v="0"/>
    <m/>
    <n v="0"/>
    <m/>
    <n v="0"/>
    <m/>
    <m/>
    <m/>
    <m/>
    <m/>
    <m/>
    <m/>
    <m/>
  </r>
  <r>
    <x v="1"/>
    <s v="University of Arkansas Community College at Hope"/>
    <m/>
    <n v="107725"/>
    <x v="8"/>
    <n v="31739"/>
    <n v="34577"/>
    <n v="31724"/>
    <n v="34556"/>
    <n v="0"/>
    <n v="0"/>
    <n v="6"/>
    <m/>
    <n v="9"/>
    <n v="3"/>
    <n v="18"/>
    <m/>
    <m/>
    <m/>
    <n v="0"/>
    <n v="0"/>
    <m/>
    <n v="0"/>
    <m/>
    <n v="0"/>
    <m/>
    <m/>
    <m/>
    <m/>
    <m/>
    <m/>
    <m/>
    <m/>
  </r>
  <r>
    <x v="1"/>
    <s v="University of Arkansas Community College at Morrilton"/>
    <m/>
    <n v="107585"/>
    <x v="8"/>
    <n v="52479"/>
    <n v="58656"/>
    <n v="50055"/>
    <n v="56063"/>
    <n v="72"/>
    <n v="0"/>
    <n v="2352"/>
    <m/>
    <m/>
    <n v="2593"/>
    <m/>
    <m/>
    <m/>
    <m/>
    <n v="0"/>
    <n v="0"/>
    <m/>
    <n v="0"/>
    <m/>
    <n v="0"/>
    <m/>
    <m/>
    <m/>
    <m/>
    <m/>
    <m/>
    <m/>
    <m/>
  </r>
  <r>
    <x v="2"/>
    <s v="dummy"/>
    <m/>
    <m/>
    <x v="0"/>
    <m/>
    <m/>
    <m/>
    <m/>
    <m/>
    <m/>
    <m/>
    <m/>
    <m/>
    <m/>
    <m/>
    <m/>
    <m/>
    <m/>
    <m/>
    <m/>
    <m/>
    <m/>
    <m/>
    <m/>
    <m/>
    <m/>
    <m/>
    <m/>
    <m/>
    <m/>
    <m/>
    <m/>
  </r>
  <r>
    <x v="3"/>
    <s v="Florida International University"/>
    <m/>
    <n v="133951"/>
    <x v="0"/>
    <n v="827508"/>
    <n v="897265"/>
    <n v="536235"/>
    <n v="591080"/>
    <n v="141223"/>
    <n v="154504"/>
    <n v="148555"/>
    <n v="522"/>
    <n v="973"/>
    <n v="150251"/>
    <m/>
    <n v="1430"/>
    <m/>
    <m/>
    <n v="158978"/>
    <n v="174422"/>
    <n v="115092"/>
    <n v="120310"/>
    <n v="28290"/>
    <n v="34619"/>
    <n v="15206"/>
    <m/>
    <n v="390"/>
    <n v="18941"/>
    <m/>
    <n v="552"/>
    <m/>
    <m/>
  </r>
  <r>
    <x v="3"/>
    <s v="Florida State University "/>
    <m/>
    <n v="134097"/>
    <x v="0"/>
    <n v="950946"/>
    <n v="972297"/>
    <n v="816647"/>
    <n v="827082"/>
    <n v="58803"/>
    <n v="64350"/>
    <n v="27083"/>
    <m/>
    <n v="48413"/>
    <n v="31723"/>
    <m/>
    <n v="49142"/>
    <m/>
    <m/>
    <n v="185887"/>
    <n v="184136"/>
    <n v="148552"/>
    <n v="147674"/>
    <n v="11754"/>
    <n v="9717"/>
    <n v="24996"/>
    <n v="30"/>
    <n v="555"/>
    <n v="25533"/>
    <m/>
    <n v="1212"/>
    <m/>
    <m/>
  </r>
  <r>
    <x v="3"/>
    <s v="University of Central Florida "/>
    <m/>
    <n v="132903"/>
    <x v="0"/>
    <n v="1210656"/>
    <n v="1281797"/>
    <n v="821150"/>
    <n v="854188"/>
    <n v="102204"/>
    <n v="99536"/>
    <n v="212795"/>
    <n v="56992"/>
    <n v="17515"/>
    <n v="319467"/>
    <n v="1758"/>
    <n v="6848"/>
    <m/>
    <m/>
    <n v="129243.3"/>
    <n v="140449"/>
    <n v="76908.800000000003"/>
    <n v="76050"/>
    <n v="12449.5"/>
    <n v="12844"/>
    <n v="36336"/>
    <n v="69"/>
    <n v="3480"/>
    <n v="49893"/>
    <n v="156"/>
    <n v="1506"/>
    <m/>
    <m/>
  </r>
  <r>
    <x v="3"/>
    <s v="University of Florida"/>
    <m/>
    <n v="134130"/>
    <x v="0"/>
    <n v="1021008"/>
    <n v="983555"/>
    <n v="787004"/>
    <n v="749194"/>
    <m/>
    <m/>
    <n v="59736"/>
    <n v="338"/>
    <n v="166889"/>
    <n v="126058"/>
    <n v="346"/>
    <n v="101235"/>
    <n v="7041"/>
    <n v="6722"/>
    <n v="357375"/>
    <n v="357500"/>
    <n v="289789"/>
    <n v="265398"/>
    <m/>
    <n v="30"/>
    <n v="40219"/>
    <n v="1621"/>
    <n v="25743"/>
    <n v="47167"/>
    <n v="505"/>
    <n v="44283"/>
    <n v="3"/>
    <n v="117"/>
  </r>
  <r>
    <x v="3"/>
    <s v="University of South Florida "/>
    <m/>
    <n v="137351"/>
    <x v="0"/>
    <n v="984652"/>
    <n v="1011653"/>
    <n v="650197"/>
    <n v="676590"/>
    <n v="127964"/>
    <n v="123581"/>
    <n v="182471"/>
    <n v="2679"/>
    <n v="21341"/>
    <n v="204478"/>
    <n v="337"/>
    <n v="6667"/>
    <m/>
    <m/>
    <n v="182477"/>
    <n v="188864"/>
    <n v="101176"/>
    <n v="119238"/>
    <n v="40412"/>
    <n v="25920"/>
    <n v="39931"/>
    <n v="195"/>
    <n v="763"/>
    <n v="43673"/>
    <m/>
    <n v="33"/>
    <m/>
    <m/>
  </r>
  <r>
    <x v="3"/>
    <s v="Florida Atlantic University "/>
    <m/>
    <n v="133669"/>
    <x v="1"/>
    <n v="539048"/>
    <n v="570235"/>
    <n v="391449"/>
    <n v="425119"/>
    <n v="114564"/>
    <n v="108075"/>
    <n v="25370"/>
    <n v="6636"/>
    <n v="1029"/>
    <n v="32865"/>
    <n v="1870"/>
    <n v="2306"/>
    <m/>
    <m/>
    <n v="78594"/>
    <n v="80819"/>
    <n v="41608"/>
    <n v="46326"/>
    <n v="17062"/>
    <n v="14834"/>
    <n v="16293"/>
    <n v="2441"/>
    <n v="1190"/>
    <n v="17682"/>
    <n v="789"/>
    <n v="1188"/>
    <m/>
    <m/>
  </r>
  <r>
    <x v="3"/>
    <s v="Florida Agricultural &amp; Mechanical University "/>
    <m/>
    <n v="133650"/>
    <x v="2"/>
    <n v="295523"/>
    <n v="325761"/>
    <n v="291621"/>
    <n v="321906"/>
    <n v="3514"/>
    <n v="3796"/>
    <n v="375"/>
    <m/>
    <n v="13"/>
    <m/>
    <m/>
    <n v="59"/>
    <m/>
    <m/>
    <n v="49355"/>
    <n v="49743"/>
    <n v="32426"/>
    <n v="31978"/>
    <n v="16929"/>
    <n v="17765"/>
    <m/>
    <m/>
    <m/>
    <m/>
    <m/>
    <m/>
    <m/>
    <m/>
  </r>
  <r>
    <x v="3"/>
    <s v="University of North Florida"/>
    <m/>
    <n v="136172"/>
    <x v="2"/>
    <n v="378168"/>
    <n v="379860"/>
    <n v="360210"/>
    <n v="360615"/>
    <n v="5018"/>
    <n v="4476"/>
    <n v="12940"/>
    <m/>
    <m/>
    <n v="14769"/>
    <m/>
    <m/>
    <m/>
    <m/>
    <n v="33151"/>
    <n v="33015"/>
    <n v="27584"/>
    <n v="26686"/>
    <n v="2906"/>
    <n v="3236"/>
    <n v="2661"/>
    <m/>
    <m/>
    <n v="3093"/>
    <m/>
    <m/>
    <m/>
    <m/>
  </r>
  <r>
    <x v="3"/>
    <s v="University of West Florida"/>
    <m/>
    <n v="138354"/>
    <x v="2"/>
    <n v="231470"/>
    <n v="247942"/>
    <n v="145563"/>
    <n v="128685"/>
    <n v="4490"/>
    <n v="3288"/>
    <n v="78409"/>
    <n v="3008"/>
    <m/>
    <n v="108181"/>
    <n v="452"/>
    <n v="7336"/>
    <m/>
    <m/>
    <n v="29350"/>
    <n v="31484"/>
    <n v="9600"/>
    <n v="7934"/>
    <n v="480"/>
    <n v="402"/>
    <n v="19180"/>
    <n v="90"/>
    <m/>
    <n v="20592"/>
    <n v="231"/>
    <n v="2325"/>
    <m/>
    <m/>
  </r>
  <r>
    <x v="3"/>
    <s v="Florida Gulf Coast University"/>
    <m/>
    <n v="433660"/>
    <x v="3"/>
    <n v="247828"/>
    <n v="268823"/>
    <n v="197874"/>
    <n v="211054"/>
    <n v="6603"/>
    <n v="5973"/>
    <n v="43279"/>
    <m/>
    <n v="72"/>
    <n v="51796"/>
    <m/>
    <m/>
    <m/>
    <m/>
    <n v="21548"/>
    <n v="24078"/>
    <n v="11880"/>
    <n v="12553"/>
    <n v="1021"/>
    <n v="1376"/>
    <n v="8647"/>
    <m/>
    <m/>
    <n v="10149"/>
    <m/>
    <m/>
    <m/>
    <m/>
  </r>
  <r>
    <x v="3"/>
    <s v="New College of Florida"/>
    <m/>
    <n v="262129"/>
    <x v="5"/>
    <n v="27872"/>
    <n v="27680"/>
    <n v="27872"/>
    <n v="27680"/>
    <m/>
    <m/>
    <m/>
    <m/>
    <m/>
    <m/>
    <m/>
    <m/>
    <m/>
    <m/>
    <n v="0"/>
    <n v="0"/>
    <m/>
    <m/>
    <m/>
    <m/>
    <m/>
    <m/>
    <m/>
    <m/>
    <m/>
    <m/>
    <m/>
    <m/>
  </r>
  <r>
    <x v="3"/>
    <s v="Chipola College "/>
    <m/>
    <n v="133021"/>
    <x v="11"/>
    <n v="47216"/>
    <n v="46218"/>
    <n v="42458"/>
    <n v="17236"/>
    <n v="1977"/>
    <n v="1150"/>
    <n v="2044"/>
    <n v="0"/>
    <n v="0"/>
    <n v="3576"/>
    <n v="0"/>
    <n v="15952"/>
    <n v="737"/>
    <n v="8304"/>
    <n v="0"/>
    <n v="0"/>
    <m/>
    <m/>
    <m/>
    <m/>
    <m/>
    <m/>
    <m/>
    <m/>
    <m/>
    <m/>
    <m/>
    <m/>
  </r>
  <r>
    <x v="3"/>
    <s v="Daytona State College "/>
    <s v="Formerly Daytona Beacah Community College."/>
    <n v="133386"/>
    <x v="11"/>
    <n v="351971"/>
    <n v="403847"/>
    <n v="268288"/>
    <n v="318148"/>
    <n v="0"/>
    <n v="7"/>
    <n v="63091"/>
    <n v="2049"/>
    <n v="18543"/>
    <n v="85480"/>
    <n v="0"/>
    <n v="212"/>
    <n v="0"/>
    <n v="0"/>
    <n v="0"/>
    <n v="0"/>
    <m/>
    <m/>
    <m/>
    <m/>
    <m/>
    <m/>
    <m/>
    <m/>
    <m/>
    <m/>
    <m/>
    <m/>
  </r>
  <r>
    <x v="3"/>
    <s v="Miami Dade College "/>
    <m/>
    <n v="135717"/>
    <x v="11"/>
    <n v="1463404"/>
    <n v="1571735"/>
    <n v="1341835"/>
    <n v="1423962"/>
    <n v="26317"/>
    <n v="16409"/>
    <n v="31885"/>
    <n v="0"/>
    <n v="63263"/>
    <n v="103467"/>
    <n v="0"/>
    <n v="27897"/>
    <n v="104"/>
    <n v="0"/>
    <n v="0"/>
    <n v="0"/>
    <m/>
    <m/>
    <m/>
    <m/>
    <m/>
    <m/>
    <m/>
    <m/>
    <m/>
    <m/>
    <m/>
    <m/>
  </r>
  <r>
    <x v="3"/>
    <s v="Northwest Florida State College"/>
    <m/>
    <n v="136233"/>
    <x v="11"/>
    <n v="159856"/>
    <n v="167455"/>
    <n v="100242"/>
    <n v="102950"/>
    <n v="19415"/>
    <n v="19156"/>
    <n v="20048"/>
    <n v="0"/>
    <n v="8725"/>
    <n v="22421"/>
    <n v="0"/>
    <n v="11157"/>
    <n v="11426"/>
    <n v="11771"/>
    <n v="0"/>
    <n v="0"/>
    <m/>
    <m/>
    <m/>
    <m/>
    <m/>
    <m/>
    <m/>
    <m/>
    <m/>
    <m/>
    <m/>
    <m/>
  </r>
  <r>
    <x v="3"/>
    <s v="St. Petersburg College "/>
    <m/>
    <n v="137078"/>
    <x v="11"/>
    <n v="581223"/>
    <n v="649907"/>
    <n v="336326"/>
    <n v="362169"/>
    <n v="0"/>
    <n v="0"/>
    <n v="202480"/>
    <n v="231"/>
    <n v="38850"/>
    <n v="230083"/>
    <n v="540"/>
    <n v="54084"/>
    <n v="3336"/>
    <n v="3031"/>
    <n v="0"/>
    <n v="0"/>
    <m/>
    <m/>
    <m/>
    <m/>
    <m/>
    <m/>
    <m/>
    <m/>
    <m/>
    <m/>
    <m/>
    <m/>
  </r>
  <r>
    <x v="3"/>
    <s v="Brevard Community College "/>
    <m/>
    <n v="132693"/>
    <x v="6"/>
    <n v="339675"/>
    <n v="360629"/>
    <n v="243220"/>
    <n v="226058"/>
    <n v="9590"/>
    <n v="9299"/>
    <n v="64621"/>
    <n v="0"/>
    <n v="22244"/>
    <n v="110135"/>
    <n v="0"/>
    <n v="15137"/>
    <n v="0"/>
    <n v="0"/>
    <n v="0"/>
    <n v="0"/>
    <m/>
    <m/>
    <m/>
    <m/>
    <m/>
    <m/>
    <m/>
    <m/>
    <m/>
    <m/>
    <m/>
    <m/>
  </r>
  <r>
    <x v="3"/>
    <s v="Broward College "/>
    <s v="Formerly Broward Community College."/>
    <n v="132709"/>
    <x v="6"/>
    <n v="781595"/>
    <n v="870553"/>
    <n v="646985"/>
    <n v="684329"/>
    <n v="44420"/>
    <n v="51796"/>
    <n v="55678"/>
    <n v="984"/>
    <n v="31332"/>
    <n v="77703"/>
    <n v="1084"/>
    <n v="53505"/>
    <n v="2196"/>
    <n v="2136"/>
    <n v="0"/>
    <n v="0"/>
    <m/>
    <m/>
    <m/>
    <m/>
    <m/>
    <m/>
    <m/>
    <m/>
    <m/>
    <m/>
    <m/>
    <m/>
  </r>
  <r>
    <x v="3"/>
    <s v="Edison State College "/>
    <s v="Reclassified: met the criteria for Two-Year with Bachelor's in 2008-09, 2009-10 and 2010-11"/>
    <n v="133508"/>
    <x v="11"/>
    <n v="313514"/>
    <n v="360927"/>
    <n v="258381"/>
    <n v="286589"/>
    <n v="10150"/>
    <n v="12937"/>
    <n v="35332"/>
    <n v="45"/>
    <n v="4218"/>
    <n v="48140"/>
    <n v="30"/>
    <n v="5867"/>
    <n v="5388"/>
    <n v="7364"/>
    <n v="0"/>
    <n v="0"/>
    <m/>
    <m/>
    <m/>
    <m/>
    <m/>
    <m/>
    <m/>
    <m/>
    <m/>
    <m/>
    <m/>
    <m/>
  </r>
  <r>
    <x v="3"/>
    <s v="Florida State College at Jacksonville"/>
    <s v="Formerly Florida Community College at Jacksonville. Met the criteria for Two-Year with Bachelor's in 2009-10 and 2010-11."/>
    <n v="133702"/>
    <x v="6"/>
    <n v="579570"/>
    <n v="668206"/>
    <n v="341569"/>
    <n v="381648"/>
    <n v="12141"/>
    <n v="11706"/>
    <n v="150125"/>
    <n v="0"/>
    <n v="74763"/>
    <n v="217457"/>
    <n v="0"/>
    <n v="57395"/>
    <n v="972"/>
    <n v="0"/>
    <n v="0"/>
    <n v="0"/>
    <m/>
    <m/>
    <m/>
    <m/>
    <m/>
    <m/>
    <m/>
    <m/>
    <m/>
    <m/>
    <m/>
    <m/>
  </r>
  <r>
    <x v="3"/>
    <s v="Hillsborough Community College "/>
    <m/>
    <n v="134495"/>
    <x v="6"/>
    <n v="529165"/>
    <n v="591140"/>
    <n v="458387"/>
    <n v="491367"/>
    <n v="14713"/>
    <n v="14673"/>
    <n v="50038"/>
    <n v="0"/>
    <n v="5985"/>
    <n v="61044"/>
    <n v="0"/>
    <n v="24056"/>
    <n v="42"/>
    <n v="0"/>
    <n v="0"/>
    <n v="0"/>
    <m/>
    <m/>
    <m/>
    <m/>
    <m/>
    <m/>
    <m/>
    <m/>
    <m/>
    <m/>
    <m/>
    <m/>
  </r>
  <r>
    <x v="3"/>
    <s v="Indian River State College "/>
    <s v="Formerly Indian River Community College. Met the criteria for Two-Year with Bachelor's in 2009-10 and 2010-11."/>
    <n v="134608"/>
    <x v="6"/>
    <n v="299147"/>
    <n v="335103"/>
    <n v="224326"/>
    <n v="246610"/>
    <n v="10713"/>
    <n v="11556"/>
    <n v="48696"/>
    <n v="6657"/>
    <n v="8755"/>
    <n v="57764"/>
    <n v="2805"/>
    <n v="16139"/>
    <n v="0"/>
    <n v="229"/>
    <n v="0"/>
    <n v="0"/>
    <m/>
    <m/>
    <m/>
    <m/>
    <m/>
    <m/>
    <m/>
    <m/>
    <m/>
    <m/>
    <m/>
    <m/>
  </r>
  <r>
    <x v="3"/>
    <s v="Palm Beach State College "/>
    <s v="Formerly Palm Beach Community College."/>
    <n v="136358"/>
    <x v="6"/>
    <n v="515154"/>
    <n v="566788"/>
    <n v="407493"/>
    <n v="445259"/>
    <n v="13437"/>
    <n v="11941"/>
    <n v="49044"/>
    <n v="2687"/>
    <n v="42493"/>
    <n v="79376"/>
    <n v="714"/>
    <n v="29498"/>
    <n v="0"/>
    <n v="0"/>
    <n v="0"/>
    <n v="0"/>
    <m/>
    <m/>
    <m/>
    <m/>
    <m/>
    <m/>
    <m/>
    <m/>
    <m/>
    <m/>
    <m/>
    <m/>
  </r>
  <r>
    <x v="3"/>
    <s v="Pasco-Hernando Community College "/>
    <m/>
    <n v="136400"/>
    <x v="6"/>
    <n v="185713"/>
    <n v="211011"/>
    <n v="170976"/>
    <n v="174539"/>
    <n v="3772"/>
    <n v="5466"/>
    <n v="10749"/>
    <n v="0"/>
    <n v="216"/>
    <n v="30401"/>
    <n v="0"/>
    <n v="605"/>
    <n v="0"/>
    <n v="0"/>
    <n v="0"/>
    <n v="0"/>
    <m/>
    <m/>
    <m/>
    <m/>
    <m/>
    <m/>
    <m/>
    <m/>
    <m/>
    <m/>
    <m/>
    <m/>
  </r>
  <r>
    <x v="3"/>
    <s v="Pensacola State College "/>
    <s v="Formerly Pensacola Junior College."/>
    <n v="136473"/>
    <x v="6"/>
    <n v="231637"/>
    <n v="245092"/>
    <n v="187203"/>
    <n v="196410"/>
    <n v="11434"/>
    <n v="10437"/>
    <n v="30618"/>
    <n v="0"/>
    <n v="2382"/>
    <n v="34726"/>
    <n v="0"/>
    <n v="3519"/>
    <n v="0"/>
    <n v="0"/>
    <n v="0"/>
    <n v="0"/>
    <m/>
    <m/>
    <m/>
    <m/>
    <m/>
    <m/>
    <m/>
    <m/>
    <m/>
    <m/>
    <m/>
    <m/>
  </r>
  <r>
    <x v="3"/>
    <s v="Polk State College "/>
    <s v="Formerly Polk Community College."/>
    <n v="136516"/>
    <x v="6"/>
    <n v="181793"/>
    <n v="206465"/>
    <n v="150628"/>
    <n v="157717"/>
    <n v="5865"/>
    <n v="11291"/>
    <n v="18703"/>
    <n v="0"/>
    <n v="6597"/>
    <n v="26838"/>
    <n v="0"/>
    <n v="10619"/>
    <n v="0"/>
    <n v="0"/>
    <n v="0"/>
    <n v="0"/>
    <m/>
    <m/>
    <m/>
    <m/>
    <m/>
    <m/>
    <m/>
    <m/>
    <m/>
    <m/>
    <m/>
    <m/>
  </r>
  <r>
    <x v="3"/>
    <s v="Santa Fe College "/>
    <s v="Formerly Santa Fe Community College."/>
    <n v="137096"/>
    <x v="6"/>
    <n v="342055"/>
    <n v="359098"/>
    <n v="277796"/>
    <n v="276151"/>
    <n v="3956"/>
    <n v="3887"/>
    <n v="47701"/>
    <n v="3"/>
    <n v="12599"/>
    <n v="58580"/>
    <n v="0"/>
    <n v="20480"/>
    <n v="0"/>
    <n v="0"/>
    <n v="0"/>
    <n v="0"/>
    <m/>
    <m/>
    <m/>
    <m/>
    <m/>
    <m/>
    <m/>
    <m/>
    <m/>
    <m/>
    <m/>
    <m/>
  </r>
  <r>
    <x v="3"/>
    <s v="Seminole State College of Florida"/>
    <s v="Formerly Seminole Community College."/>
    <n v="137209"/>
    <x v="6"/>
    <n v="330923"/>
    <n v="398887"/>
    <n v="273596"/>
    <n v="319443"/>
    <n v="0"/>
    <n v="0"/>
    <n v="55437"/>
    <n v="0"/>
    <n v="1890"/>
    <n v="74132"/>
    <n v="0"/>
    <n v="5312"/>
    <n v="0"/>
    <n v="0"/>
    <n v="0"/>
    <n v="0"/>
    <m/>
    <m/>
    <m/>
    <m/>
    <m/>
    <m/>
    <m/>
    <m/>
    <m/>
    <m/>
    <m/>
    <m/>
  </r>
  <r>
    <x v="3"/>
    <s v="State College of Florida, Manatee-Sarasota"/>
    <m/>
    <n v="135391"/>
    <x v="6"/>
    <n v="272386"/>
    <n v="276380"/>
    <n v="233056"/>
    <n v="223582"/>
    <n v="8585"/>
    <n v="9372"/>
    <n v="24448"/>
    <n v="1695"/>
    <n v="4602"/>
    <n v="30775"/>
    <n v="1569"/>
    <n v="11082"/>
    <n v="0"/>
    <n v="0"/>
    <n v="0"/>
    <n v="0"/>
    <m/>
    <m/>
    <m/>
    <m/>
    <m/>
    <m/>
    <m/>
    <m/>
    <m/>
    <m/>
    <m/>
    <m/>
  </r>
  <r>
    <x v="3"/>
    <s v="Tallahassee Community College "/>
    <m/>
    <n v="137759"/>
    <x v="6"/>
    <n v="327104"/>
    <n v="342820"/>
    <n v="285802"/>
    <n v="165250"/>
    <n v="3628"/>
    <n v="3054"/>
    <n v="36856"/>
    <n v="0"/>
    <n v="818"/>
    <n v="18829"/>
    <n v="0"/>
    <n v="155687"/>
    <n v="0"/>
    <n v="0"/>
    <n v="0"/>
    <n v="0"/>
    <m/>
    <m/>
    <m/>
    <m/>
    <m/>
    <m/>
    <m/>
    <m/>
    <m/>
    <m/>
    <m/>
    <m/>
  </r>
  <r>
    <x v="3"/>
    <s v="Valencia Community College "/>
    <m/>
    <n v="138187"/>
    <x v="6"/>
    <n v="827805"/>
    <n v="915042"/>
    <n v="667258"/>
    <n v="715709"/>
    <n v="0"/>
    <n v="0"/>
    <n v="134794"/>
    <n v="0"/>
    <n v="25753"/>
    <n v="161499"/>
    <n v="0"/>
    <n v="37834"/>
    <n v="0"/>
    <n v="0"/>
    <n v="0"/>
    <n v="0"/>
    <m/>
    <m/>
    <m/>
    <m/>
    <m/>
    <m/>
    <m/>
    <m/>
    <m/>
    <m/>
    <m/>
    <m/>
  </r>
  <r>
    <x v="3"/>
    <s v="College of Central Florida"/>
    <s v="Reclassified: met the criteria for Two-Year 1 in 2008-09, 2009-10 and 2010-11. Formerly Central Florida Community College. "/>
    <n v="132851"/>
    <x v="6"/>
    <n v="157184"/>
    <n v="179067"/>
    <n v="127918"/>
    <n v="137662"/>
    <n v="0"/>
    <n v="0"/>
    <n v="22706"/>
    <n v="0"/>
    <n v="6560"/>
    <n v="32997"/>
    <n v="0"/>
    <n v="8408"/>
    <n v="0"/>
    <n v="0"/>
    <n v="0"/>
    <n v="0"/>
    <m/>
    <m/>
    <m/>
    <m/>
    <m/>
    <m/>
    <m/>
    <m/>
    <m/>
    <m/>
    <m/>
    <m/>
  </r>
  <r>
    <x v="3"/>
    <s v="Gulf Coast Community College "/>
    <s v="Met the criteria for Two-Year 1 in 2009-10 and 2010-11."/>
    <n v="134343"/>
    <x v="7"/>
    <n v="131237"/>
    <n v="138911"/>
    <n v="88216"/>
    <n v="92440"/>
    <n v="14739"/>
    <n v="13282"/>
    <n v="25057"/>
    <n v="2241"/>
    <n v="984"/>
    <n v="29336"/>
    <n v="2299"/>
    <n v="1554"/>
    <n v="0"/>
    <n v="0"/>
    <n v="0"/>
    <n v="0"/>
    <m/>
    <m/>
    <m/>
    <m/>
    <m/>
    <m/>
    <m/>
    <m/>
    <m/>
    <m/>
    <m/>
    <m/>
  </r>
  <r>
    <x v="3"/>
    <s v="Lake City Community College "/>
    <m/>
    <n v="135160"/>
    <x v="7"/>
    <n v="57014"/>
    <n v="58982"/>
    <n v="31787"/>
    <n v="32078"/>
    <n v="761"/>
    <n v="1563"/>
    <n v="19677"/>
    <n v="3983"/>
    <n v="806"/>
    <n v="22508"/>
    <n v="1313"/>
    <n v="1520"/>
    <n v="0"/>
    <n v="0"/>
    <n v="0"/>
    <n v="0"/>
    <m/>
    <m/>
    <m/>
    <m/>
    <m/>
    <m/>
    <m/>
    <m/>
    <m/>
    <m/>
    <m/>
    <m/>
  </r>
  <r>
    <x v="3"/>
    <s v="Lake-Sumter Community College "/>
    <m/>
    <n v="135188"/>
    <x v="7"/>
    <n v="89279"/>
    <n v="97432"/>
    <n v="75831"/>
    <n v="77814"/>
    <n v="0"/>
    <n v="0"/>
    <n v="4152"/>
    <n v="0"/>
    <n v="9066"/>
    <n v="5680"/>
    <n v="0"/>
    <n v="13938"/>
    <n v="230"/>
    <n v="0"/>
    <n v="0"/>
    <n v="0"/>
    <m/>
    <m/>
    <m/>
    <m/>
    <m/>
    <m/>
    <m/>
    <m/>
    <m/>
    <m/>
    <m/>
    <m/>
  </r>
  <r>
    <x v="3"/>
    <s v="South Florida Community College "/>
    <m/>
    <n v="137315"/>
    <x v="7"/>
    <n v="47534"/>
    <n v="49486"/>
    <n v="28956"/>
    <n v="15775"/>
    <n v="12275"/>
    <n v="7763"/>
    <n v="4512"/>
    <n v="1350"/>
    <n v="441"/>
    <n v="6436"/>
    <n v="1248"/>
    <n v="17691"/>
    <n v="0"/>
    <n v="573"/>
    <n v="0"/>
    <n v="0"/>
    <m/>
    <m/>
    <m/>
    <m/>
    <m/>
    <m/>
    <m/>
    <m/>
    <m/>
    <m/>
    <m/>
    <m/>
  </r>
  <r>
    <x v="3"/>
    <s v="St. Johns River Community College "/>
    <s v="Met the criteria for Two-Year 1 in  2010-11."/>
    <n v="137281"/>
    <x v="7"/>
    <n v="126280"/>
    <n v="139519"/>
    <n v="91984"/>
    <n v="98958"/>
    <n v="6693"/>
    <n v="7702"/>
    <n v="26324"/>
    <n v="0"/>
    <n v="1279"/>
    <n v="30261"/>
    <n v="0"/>
    <n v="2598"/>
    <n v="0"/>
    <n v="0"/>
    <n v="0"/>
    <n v="0"/>
    <m/>
    <m/>
    <m/>
    <m/>
    <m/>
    <m/>
    <m/>
    <m/>
    <m/>
    <m/>
    <m/>
    <m/>
  </r>
  <r>
    <x v="3"/>
    <s v="Florida Keys Community College "/>
    <m/>
    <n v="133960"/>
    <x v="8"/>
    <n v="28123"/>
    <n v="29899"/>
    <n v="19358"/>
    <n v="24788"/>
    <n v="1998"/>
    <n v="1298"/>
    <n v="2708"/>
    <n v="675"/>
    <n v="3072"/>
    <n v="3191"/>
    <n v="110"/>
    <n v="512"/>
    <n v="312"/>
    <n v="0"/>
    <n v="0"/>
    <n v="0"/>
    <m/>
    <m/>
    <m/>
    <m/>
    <m/>
    <m/>
    <m/>
    <m/>
    <m/>
    <m/>
    <m/>
    <m/>
  </r>
  <r>
    <x v="3"/>
    <s v="North Florida Community College "/>
    <m/>
    <n v="136145"/>
    <x v="8"/>
    <n v="22425"/>
    <n v="25936"/>
    <n v="16780"/>
    <n v="12168"/>
    <n v="1368"/>
    <n v="1755"/>
    <n v="3941"/>
    <n v="0"/>
    <n v="336"/>
    <n v="4919"/>
    <n v="0"/>
    <n v="7094"/>
    <n v="0"/>
    <n v="0"/>
    <n v="0"/>
    <n v="0"/>
    <m/>
    <m/>
    <m/>
    <m/>
    <m/>
    <m/>
    <m/>
    <m/>
    <m/>
    <m/>
    <m/>
    <m/>
  </r>
  <r>
    <x v="4"/>
    <s v="Georgia State University "/>
    <m/>
    <n v="139940"/>
    <x v="0"/>
    <n v="0"/>
    <n v="0"/>
    <m/>
    <m/>
    <m/>
    <m/>
    <m/>
    <m/>
    <m/>
    <m/>
    <m/>
    <m/>
    <m/>
    <m/>
    <n v="0"/>
    <n v="0"/>
    <m/>
    <m/>
    <m/>
    <m/>
    <m/>
    <m/>
    <m/>
    <m/>
    <m/>
    <m/>
    <m/>
    <m/>
  </r>
  <r>
    <x v="4"/>
    <s v="University of Georgia"/>
    <m/>
    <n v="139959"/>
    <x v="0"/>
    <n v="0"/>
    <n v="0"/>
    <m/>
    <m/>
    <m/>
    <m/>
    <m/>
    <m/>
    <m/>
    <m/>
    <m/>
    <m/>
    <m/>
    <m/>
    <n v="0"/>
    <n v="0"/>
    <m/>
    <m/>
    <m/>
    <m/>
    <m/>
    <m/>
    <m/>
    <m/>
    <m/>
    <m/>
    <m/>
    <m/>
  </r>
  <r>
    <x v="4"/>
    <s v="Georgia Institute of Technology"/>
    <m/>
    <n v="139755"/>
    <x v="1"/>
    <n v="0"/>
    <n v="0"/>
    <m/>
    <m/>
    <m/>
    <m/>
    <m/>
    <m/>
    <m/>
    <m/>
    <m/>
    <m/>
    <m/>
    <m/>
    <n v="0"/>
    <n v="0"/>
    <m/>
    <m/>
    <m/>
    <m/>
    <m/>
    <m/>
    <m/>
    <m/>
    <m/>
    <m/>
    <m/>
    <m/>
  </r>
  <r>
    <x v="4"/>
    <s v="Georgia Southern University"/>
    <m/>
    <n v="139931"/>
    <x v="2"/>
    <n v="0"/>
    <n v="0"/>
    <m/>
    <m/>
    <m/>
    <m/>
    <m/>
    <m/>
    <m/>
    <m/>
    <m/>
    <m/>
    <m/>
    <m/>
    <n v="0"/>
    <n v="0"/>
    <m/>
    <m/>
    <m/>
    <m/>
    <m/>
    <m/>
    <m/>
    <m/>
    <m/>
    <m/>
    <m/>
    <m/>
  </r>
  <r>
    <x v="4"/>
    <s v="University of West Georgia"/>
    <m/>
    <n v="141334"/>
    <x v="2"/>
    <n v="0"/>
    <n v="0"/>
    <m/>
    <m/>
    <m/>
    <m/>
    <m/>
    <m/>
    <m/>
    <m/>
    <m/>
    <m/>
    <m/>
    <m/>
    <n v="0"/>
    <n v="0"/>
    <m/>
    <m/>
    <m/>
    <m/>
    <m/>
    <m/>
    <m/>
    <m/>
    <m/>
    <m/>
    <m/>
    <m/>
  </r>
  <r>
    <x v="4"/>
    <s v="Valdosta State University "/>
    <m/>
    <n v="141264"/>
    <x v="2"/>
    <n v="0"/>
    <n v="0"/>
    <m/>
    <m/>
    <m/>
    <m/>
    <m/>
    <m/>
    <m/>
    <m/>
    <m/>
    <m/>
    <m/>
    <m/>
    <n v="0"/>
    <n v="0"/>
    <m/>
    <m/>
    <m/>
    <m/>
    <m/>
    <m/>
    <m/>
    <m/>
    <m/>
    <m/>
    <m/>
    <m/>
  </r>
  <r>
    <x v="4"/>
    <s v="Albany State University "/>
    <m/>
    <n v="138716"/>
    <x v="3"/>
    <n v="0"/>
    <n v="0"/>
    <m/>
    <m/>
    <m/>
    <m/>
    <m/>
    <m/>
    <m/>
    <m/>
    <m/>
    <m/>
    <m/>
    <m/>
    <n v="0"/>
    <n v="0"/>
    <m/>
    <m/>
    <m/>
    <m/>
    <m/>
    <m/>
    <m/>
    <m/>
    <m/>
    <m/>
    <m/>
    <m/>
  </r>
  <r>
    <x v="4"/>
    <s v="Armstrong Atlantic State University"/>
    <m/>
    <n v="138789"/>
    <x v="3"/>
    <n v="0"/>
    <n v="0"/>
    <m/>
    <m/>
    <m/>
    <m/>
    <m/>
    <m/>
    <m/>
    <m/>
    <m/>
    <m/>
    <m/>
    <m/>
    <n v="0"/>
    <n v="0"/>
    <m/>
    <m/>
    <m/>
    <m/>
    <m/>
    <m/>
    <m/>
    <m/>
    <m/>
    <m/>
    <m/>
    <m/>
  </r>
  <r>
    <x v="4"/>
    <s v="Columbus State University"/>
    <m/>
    <n v="139366"/>
    <x v="3"/>
    <n v="0"/>
    <n v="0"/>
    <m/>
    <m/>
    <m/>
    <m/>
    <m/>
    <m/>
    <m/>
    <m/>
    <m/>
    <m/>
    <m/>
    <m/>
    <n v="0"/>
    <n v="0"/>
    <m/>
    <m/>
    <m/>
    <m/>
    <m/>
    <m/>
    <m/>
    <m/>
    <m/>
    <m/>
    <m/>
    <m/>
  </r>
  <r>
    <x v="4"/>
    <s v="Georgia College and State University"/>
    <m/>
    <n v="139861"/>
    <x v="3"/>
    <n v="0"/>
    <n v="0"/>
    <m/>
    <m/>
    <m/>
    <m/>
    <m/>
    <m/>
    <m/>
    <m/>
    <m/>
    <m/>
    <m/>
    <m/>
    <n v="0"/>
    <n v="0"/>
    <m/>
    <m/>
    <m/>
    <m/>
    <m/>
    <m/>
    <m/>
    <m/>
    <m/>
    <m/>
    <m/>
    <m/>
  </r>
  <r>
    <x v="4"/>
    <s v="Kennesaw State University"/>
    <m/>
    <n v="140164"/>
    <x v="3"/>
    <n v="0"/>
    <n v="0"/>
    <m/>
    <m/>
    <m/>
    <m/>
    <m/>
    <m/>
    <m/>
    <m/>
    <m/>
    <m/>
    <m/>
    <m/>
    <n v="0"/>
    <n v="0"/>
    <m/>
    <m/>
    <m/>
    <m/>
    <m/>
    <m/>
    <m/>
    <m/>
    <m/>
    <m/>
    <m/>
    <m/>
  </r>
  <r>
    <x v="4"/>
    <s v="Augusta State University"/>
    <s v="Met the criteria for Four-Year 4 in 2010-11."/>
    <n v="138983"/>
    <x v="4"/>
    <n v="0"/>
    <n v="0"/>
    <m/>
    <m/>
    <m/>
    <m/>
    <m/>
    <m/>
    <m/>
    <m/>
    <m/>
    <m/>
    <m/>
    <m/>
    <n v="0"/>
    <n v="0"/>
    <m/>
    <m/>
    <m/>
    <m/>
    <m/>
    <m/>
    <m/>
    <m/>
    <m/>
    <m/>
    <m/>
    <m/>
  </r>
  <r>
    <x v="4"/>
    <s v="Fort Valley State University"/>
    <m/>
    <n v="139719"/>
    <x v="4"/>
    <n v="0"/>
    <n v="0"/>
    <m/>
    <m/>
    <m/>
    <m/>
    <m/>
    <m/>
    <m/>
    <m/>
    <m/>
    <m/>
    <m/>
    <m/>
    <n v="0"/>
    <n v="0"/>
    <m/>
    <m/>
    <m/>
    <m/>
    <m/>
    <m/>
    <m/>
    <m/>
    <m/>
    <m/>
    <m/>
    <m/>
  </r>
  <r>
    <x v="4"/>
    <s v="Georgia Southwestern State University"/>
    <m/>
    <n v="139764"/>
    <x v="4"/>
    <n v="0"/>
    <n v="0"/>
    <m/>
    <m/>
    <m/>
    <m/>
    <m/>
    <m/>
    <m/>
    <m/>
    <m/>
    <m/>
    <m/>
    <m/>
    <n v="0"/>
    <n v="0"/>
    <m/>
    <m/>
    <m/>
    <m/>
    <m/>
    <m/>
    <m/>
    <m/>
    <m/>
    <m/>
    <m/>
    <m/>
  </r>
  <r>
    <x v="4"/>
    <s v="North Georgia College and State University"/>
    <s v="Met the criteria for Four-Year 4 in 2010-11."/>
    <n v="140669"/>
    <x v="4"/>
    <n v="0"/>
    <n v="0"/>
    <m/>
    <m/>
    <m/>
    <m/>
    <m/>
    <m/>
    <m/>
    <m/>
    <m/>
    <m/>
    <m/>
    <m/>
    <n v="0"/>
    <n v="0"/>
    <m/>
    <m/>
    <m/>
    <m/>
    <m/>
    <m/>
    <m/>
    <m/>
    <m/>
    <m/>
    <m/>
    <m/>
  </r>
  <r>
    <x v="4"/>
    <s v="Savannah State University"/>
    <m/>
    <n v="140960"/>
    <x v="4"/>
    <n v="0"/>
    <n v="0"/>
    <m/>
    <m/>
    <m/>
    <m/>
    <m/>
    <m/>
    <m/>
    <m/>
    <m/>
    <m/>
    <m/>
    <m/>
    <n v="0"/>
    <n v="0"/>
    <m/>
    <m/>
    <m/>
    <m/>
    <m/>
    <m/>
    <m/>
    <m/>
    <m/>
    <m/>
    <m/>
    <m/>
  </r>
  <r>
    <x v="4"/>
    <s v="Clayton State University"/>
    <s v="Met the criteria for Four-Year 5 in 2009-10 and 2010-11."/>
    <n v="139311"/>
    <x v="5"/>
    <n v="0"/>
    <n v="0"/>
    <m/>
    <m/>
    <m/>
    <m/>
    <m/>
    <m/>
    <m/>
    <m/>
    <m/>
    <m/>
    <m/>
    <m/>
    <n v="0"/>
    <n v="0"/>
    <m/>
    <m/>
    <m/>
    <m/>
    <m/>
    <m/>
    <m/>
    <m/>
    <m/>
    <m/>
    <m/>
    <m/>
  </r>
  <r>
    <x v="4"/>
    <s v="Macon State College "/>
    <m/>
    <n v="140322"/>
    <x v="5"/>
    <n v="0"/>
    <n v="0"/>
    <m/>
    <m/>
    <m/>
    <m/>
    <m/>
    <m/>
    <m/>
    <m/>
    <m/>
    <m/>
    <m/>
    <m/>
    <n v="0"/>
    <n v="0"/>
    <m/>
    <m/>
    <m/>
    <m/>
    <m/>
    <m/>
    <m/>
    <m/>
    <m/>
    <m/>
    <m/>
    <m/>
  </r>
  <r>
    <x v="4"/>
    <s v="Dalton State College "/>
    <m/>
    <n v="139463"/>
    <x v="11"/>
    <n v="0"/>
    <n v="0"/>
    <m/>
    <m/>
    <m/>
    <m/>
    <m/>
    <m/>
    <m/>
    <m/>
    <m/>
    <m/>
    <m/>
    <m/>
    <n v="0"/>
    <n v="0"/>
    <m/>
    <m/>
    <m/>
    <m/>
    <m/>
    <m/>
    <m/>
    <m/>
    <m/>
    <m/>
    <m/>
    <m/>
  </r>
  <r>
    <x v="4"/>
    <s v="Gainesville State College "/>
    <s v="Reclassified: met the criteria for Two-Year with Bachelors in 2008-09, 2009-10 and 2010-11."/>
    <n v="139773"/>
    <x v="11"/>
    <n v="0"/>
    <n v="0"/>
    <m/>
    <m/>
    <m/>
    <m/>
    <m/>
    <m/>
    <m/>
    <m/>
    <m/>
    <m/>
    <m/>
    <m/>
    <n v="0"/>
    <n v="0"/>
    <m/>
    <m/>
    <m/>
    <m/>
    <m/>
    <m/>
    <m/>
    <m/>
    <m/>
    <m/>
    <m/>
    <m/>
  </r>
  <r>
    <x v="4"/>
    <s v="Georgia Perimeter College "/>
    <m/>
    <n v="244437"/>
    <x v="6"/>
    <n v="0"/>
    <n v="0"/>
    <m/>
    <m/>
    <m/>
    <m/>
    <m/>
    <m/>
    <m/>
    <m/>
    <m/>
    <m/>
    <m/>
    <m/>
    <n v="0"/>
    <n v="0"/>
    <m/>
    <m/>
    <m/>
    <m/>
    <m/>
    <m/>
    <m/>
    <m/>
    <m/>
    <m/>
    <m/>
    <m/>
  </r>
  <r>
    <x v="4"/>
    <s v="Abraham Baldwin Agricultural College "/>
    <s v="Met the criteria for Two-Year with Bachelor's in 2009-10. Did not award any bachelor's for 2010-11 analysis, looses flag."/>
    <n v="138558"/>
    <x v="7"/>
    <n v="0"/>
    <n v="0"/>
    <m/>
    <m/>
    <m/>
    <m/>
    <m/>
    <m/>
    <m/>
    <m/>
    <m/>
    <m/>
    <m/>
    <m/>
    <n v="0"/>
    <n v="0"/>
    <m/>
    <m/>
    <m/>
    <m/>
    <m/>
    <m/>
    <m/>
    <m/>
    <m/>
    <m/>
    <m/>
    <m/>
  </r>
  <r>
    <x v="4"/>
    <s v="Bainbridge College "/>
    <m/>
    <n v="139010"/>
    <x v="7"/>
    <n v="0"/>
    <n v="0"/>
    <m/>
    <m/>
    <m/>
    <m/>
    <m/>
    <m/>
    <m/>
    <m/>
    <m/>
    <m/>
    <m/>
    <m/>
    <n v="0"/>
    <n v="0"/>
    <m/>
    <m/>
    <m/>
    <m/>
    <m/>
    <m/>
    <m/>
    <m/>
    <m/>
    <m/>
    <m/>
    <m/>
  </r>
  <r>
    <x v="4"/>
    <s v="College of Coastal Georgia "/>
    <m/>
    <n v="139250"/>
    <x v="7"/>
    <n v="0"/>
    <n v="0"/>
    <m/>
    <m/>
    <m/>
    <m/>
    <m/>
    <m/>
    <m/>
    <m/>
    <m/>
    <m/>
    <m/>
    <m/>
    <n v="0"/>
    <n v="0"/>
    <m/>
    <m/>
    <m/>
    <m/>
    <m/>
    <m/>
    <m/>
    <m/>
    <m/>
    <m/>
    <m/>
    <m/>
  </r>
  <r>
    <x v="4"/>
    <s v="Darton College "/>
    <m/>
    <n v="138691"/>
    <x v="7"/>
    <n v="0"/>
    <n v="0"/>
    <m/>
    <m/>
    <m/>
    <m/>
    <m/>
    <m/>
    <m/>
    <m/>
    <m/>
    <m/>
    <m/>
    <m/>
    <n v="0"/>
    <n v="0"/>
    <m/>
    <m/>
    <m/>
    <m/>
    <m/>
    <m/>
    <m/>
    <m/>
    <m/>
    <m/>
    <m/>
    <m/>
  </r>
  <r>
    <x v="4"/>
    <s v="Georgia Highlands College"/>
    <m/>
    <n v="139700"/>
    <x v="7"/>
    <n v="0"/>
    <n v="0"/>
    <m/>
    <m/>
    <m/>
    <m/>
    <m/>
    <m/>
    <m/>
    <m/>
    <m/>
    <m/>
    <m/>
    <m/>
    <n v="0"/>
    <n v="0"/>
    <m/>
    <m/>
    <m/>
    <m/>
    <m/>
    <m/>
    <m/>
    <m/>
    <m/>
    <m/>
    <m/>
    <m/>
  </r>
  <r>
    <x v="4"/>
    <s v="Gordon College "/>
    <s v="Met the criteria for Two-Year with Bachelor's in 2009-10."/>
    <n v="139968"/>
    <x v="7"/>
    <n v="0"/>
    <n v="0"/>
    <m/>
    <m/>
    <m/>
    <m/>
    <m/>
    <m/>
    <m/>
    <m/>
    <m/>
    <m/>
    <m/>
    <m/>
    <n v="0"/>
    <n v="0"/>
    <m/>
    <m/>
    <m/>
    <m/>
    <m/>
    <m/>
    <m/>
    <m/>
    <m/>
    <m/>
    <m/>
    <m/>
  </r>
  <r>
    <x v="4"/>
    <s v="Middle Georgia College "/>
    <m/>
    <n v="140483"/>
    <x v="7"/>
    <n v="0"/>
    <n v="0"/>
    <m/>
    <m/>
    <m/>
    <m/>
    <m/>
    <m/>
    <m/>
    <m/>
    <m/>
    <m/>
    <m/>
    <m/>
    <n v="0"/>
    <n v="0"/>
    <m/>
    <m/>
    <m/>
    <m/>
    <m/>
    <m/>
    <m/>
    <m/>
    <m/>
    <m/>
    <m/>
    <m/>
  </r>
  <r>
    <x v="4"/>
    <s v="Atlanta Metropolitan College"/>
    <s v="Met the criteria for Two-Year 2 in 2009-10 and 2010-11."/>
    <n v="138901"/>
    <x v="8"/>
    <n v="0"/>
    <n v="0"/>
    <m/>
    <m/>
    <m/>
    <m/>
    <m/>
    <m/>
    <m/>
    <m/>
    <m/>
    <m/>
    <m/>
    <m/>
    <n v="0"/>
    <n v="0"/>
    <m/>
    <m/>
    <m/>
    <m/>
    <m/>
    <m/>
    <m/>
    <m/>
    <m/>
    <m/>
    <m/>
    <m/>
  </r>
  <r>
    <x v="4"/>
    <s v="East Georgia College"/>
    <s v="Met the criteria for Two-Year 2 in 2009-10 and 2010-11."/>
    <n v="139621"/>
    <x v="8"/>
    <n v="0"/>
    <n v="0"/>
    <m/>
    <m/>
    <m/>
    <m/>
    <m/>
    <m/>
    <m/>
    <m/>
    <m/>
    <m/>
    <m/>
    <m/>
    <n v="0"/>
    <n v="0"/>
    <m/>
    <m/>
    <m/>
    <m/>
    <m/>
    <m/>
    <m/>
    <m/>
    <m/>
    <m/>
    <m/>
    <m/>
  </r>
  <r>
    <x v="4"/>
    <s v="South Georgia College "/>
    <m/>
    <n v="140997"/>
    <x v="8"/>
    <n v="0"/>
    <n v="0"/>
    <m/>
    <m/>
    <m/>
    <m/>
    <m/>
    <m/>
    <m/>
    <m/>
    <m/>
    <m/>
    <m/>
    <m/>
    <n v="0"/>
    <n v="0"/>
    <m/>
    <m/>
    <m/>
    <m/>
    <m/>
    <m/>
    <m/>
    <m/>
    <m/>
    <m/>
    <m/>
    <m/>
  </r>
  <r>
    <x v="4"/>
    <s v="Waycross College "/>
    <m/>
    <n v="141307"/>
    <x v="8"/>
    <n v="0"/>
    <n v="0"/>
    <m/>
    <m/>
    <m/>
    <m/>
    <m/>
    <m/>
    <m/>
    <m/>
    <m/>
    <m/>
    <m/>
    <m/>
    <n v="0"/>
    <n v="0"/>
    <m/>
    <m/>
    <m/>
    <m/>
    <m/>
    <m/>
    <m/>
    <m/>
    <m/>
    <m/>
    <m/>
    <m/>
  </r>
  <r>
    <x v="4"/>
    <s v="Georgia Gwinnett College"/>
    <s v="In start up phase."/>
    <n v="447689"/>
    <x v="12"/>
    <n v="0"/>
    <n v="0"/>
    <m/>
    <m/>
    <m/>
    <m/>
    <m/>
    <m/>
    <m/>
    <m/>
    <m/>
    <m/>
    <m/>
    <m/>
    <n v="0"/>
    <n v="0"/>
    <m/>
    <m/>
    <m/>
    <m/>
    <m/>
    <m/>
    <m/>
    <m/>
    <m/>
    <m/>
    <m/>
    <m/>
  </r>
  <r>
    <x v="4"/>
    <s v="Albany Technical College"/>
    <m/>
    <n v="138682"/>
    <x v="9"/>
    <n v="157333"/>
    <n v="204508"/>
    <n v="113578"/>
    <n v="137819"/>
    <m/>
    <m/>
    <n v="43755"/>
    <n v="0"/>
    <n v="0"/>
    <n v="66689"/>
    <n v="0"/>
    <m/>
    <m/>
    <m/>
    <n v="0"/>
    <n v="0"/>
    <m/>
    <m/>
    <m/>
    <m/>
    <m/>
    <m/>
    <m/>
    <m/>
    <m/>
    <m/>
    <m/>
    <m/>
  </r>
  <r>
    <x v="4"/>
    <s v="Athens Technical College"/>
    <m/>
    <n v="246813"/>
    <x v="9"/>
    <n v="155120"/>
    <n v="190962"/>
    <n v="139400"/>
    <n v="170984"/>
    <m/>
    <m/>
    <n v="13815"/>
    <n v="1905"/>
    <n v="0"/>
    <n v="17873"/>
    <n v="2105"/>
    <m/>
    <m/>
    <m/>
    <n v="0"/>
    <n v="0"/>
    <m/>
    <m/>
    <m/>
    <m/>
    <m/>
    <m/>
    <m/>
    <m/>
    <m/>
    <m/>
    <m/>
    <m/>
  </r>
  <r>
    <x v="4"/>
    <s v="Atlanta Technical College"/>
    <m/>
    <n v="138840"/>
    <x v="9"/>
    <n v="172661"/>
    <n v="219221"/>
    <n v="151241"/>
    <n v="192770"/>
    <m/>
    <m/>
    <n v="21420"/>
    <n v="0"/>
    <n v="0"/>
    <n v="26451"/>
    <n v="0"/>
    <m/>
    <m/>
    <m/>
    <n v="0"/>
    <n v="0"/>
    <m/>
    <m/>
    <m/>
    <m/>
    <m/>
    <m/>
    <m/>
    <m/>
    <m/>
    <m/>
    <m/>
    <m/>
  </r>
  <r>
    <x v="4"/>
    <s v="Augusta Technical College"/>
    <m/>
    <n v="138956"/>
    <x v="9"/>
    <n v="183274"/>
    <n v="194035"/>
    <n v="161008"/>
    <n v="168612"/>
    <m/>
    <m/>
    <n v="22266"/>
    <n v="0"/>
    <n v="0"/>
    <n v="25423"/>
    <n v="0"/>
    <m/>
    <m/>
    <m/>
    <n v="0"/>
    <n v="0"/>
    <m/>
    <m/>
    <m/>
    <m/>
    <m/>
    <m/>
    <m/>
    <m/>
    <m/>
    <m/>
    <m/>
    <m/>
  </r>
  <r>
    <x v="4"/>
    <s v="Central Georgia Technical College"/>
    <m/>
    <n v="140304"/>
    <x v="9"/>
    <n v="252693"/>
    <n v="308085"/>
    <n v="183959"/>
    <n v="224532"/>
    <m/>
    <m/>
    <n v="68290"/>
    <n v="444"/>
    <n v="0"/>
    <n v="82632"/>
    <n v="921"/>
    <m/>
    <m/>
    <m/>
    <n v="0"/>
    <n v="0"/>
    <m/>
    <m/>
    <m/>
    <m/>
    <m/>
    <m/>
    <m/>
    <m/>
    <m/>
    <m/>
    <m/>
    <m/>
  </r>
  <r>
    <x v="4"/>
    <s v="Chattahoochee Technical College"/>
    <m/>
    <n v="140331"/>
    <x v="9"/>
    <n v="387681"/>
    <n v="478803"/>
    <n v="335554"/>
    <n v="395024"/>
    <n v="0"/>
    <m/>
    <n v="51777"/>
    <n v="350"/>
    <n v="0"/>
    <n v="83779"/>
    <n v="0"/>
    <m/>
    <n v="0"/>
    <m/>
    <n v="0"/>
    <n v="0"/>
    <m/>
    <m/>
    <m/>
    <m/>
    <m/>
    <m/>
    <m/>
    <m/>
    <m/>
    <m/>
    <m/>
    <m/>
  </r>
  <r>
    <x v="4"/>
    <s v="Columbus Technical College"/>
    <m/>
    <n v="139357"/>
    <x v="9"/>
    <n v="139974"/>
    <n v="153852"/>
    <n v="120489"/>
    <n v="131857"/>
    <m/>
    <m/>
    <n v="19485"/>
    <n v="0"/>
    <n v="0"/>
    <n v="21995"/>
    <n v="0"/>
    <m/>
    <m/>
    <m/>
    <n v="0"/>
    <n v="0"/>
    <m/>
    <m/>
    <m/>
    <m/>
    <m/>
    <m/>
    <m/>
    <m/>
    <m/>
    <m/>
    <m/>
    <m/>
  </r>
  <r>
    <x v="4"/>
    <s v="DeKalb Technical College"/>
    <m/>
    <n v="244446"/>
    <x v="9"/>
    <n v="170116"/>
    <n v="200128"/>
    <n v="128931"/>
    <n v="146522"/>
    <m/>
    <m/>
    <n v="41185"/>
    <n v="0"/>
    <n v="0"/>
    <n v="53606"/>
    <n v="0"/>
    <m/>
    <m/>
    <m/>
    <n v="0"/>
    <n v="0"/>
    <m/>
    <m/>
    <m/>
    <m/>
    <m/>
    <m/>
    <m/>
    <m/>
    <m/>
    <m/>
    <m/>
    <m/>
  </r>
  <r>
    <x v="4"/>
    <s v="Georgia Northwestern Technical College"/>
    <m/>
    <n v="139384"/>
    <x v="9"/>
    <n v="226352"/>
    <n v="262590"/>
    <n v="175975"/>
    <n v="195025"/>
    <n v="0"/>
    <m/>
    <n v="50377"/>
    <n v="0"/>
    <n v="0"/>
    <n v="66874"/>
    <n v="691"/>
    <m/>
    <n v="0"/>
    <m/>
    <n v="0"/>
    <n v="0"/>
    <m/>
    <m/>
    <m/>
    <m/>
    <m/>
    <m/>
    <m/>
    <m/>
    <m/>
    <m/>
    <m/>
    <m/>
  </r>
  <r>
    <x v="4"/>
    <s v="Flint River Technical College"/>
    <m/>
    <n v="248794"/>
    <x v="10"/>
    <n v="40522.300000000003"/>
    <n v="0"/>
    <n v="35172.300000000003"/>
    <m/>
    <m/>
    <m/>
    <n v="5350"/>
    <n v="0"/>
    <n v="0"/>
    <m/>
    <m/>
    <m/>
    <m/>
    <m/>
    <n v="0"/>
    <n v="0"/>
    <m/>
    <m/>
    <m/>
    <m/>
    <m/>
    <m/>
    <m/>
    <m/>
    <m/>
    <m/>
    <m/>
    <m/>
  </r>
  <r>
    <x v="4"/>
    <s v="Griffin Technical College  "/>
    <m/>
    <n v="139986"/>
    <x v="9"/>
    <n v="185320"/>
    <n v="0"/>
    <n v="151991"/>
    <m/>
    <m/>
    <m/>
    <n v="33329"/>
    <n v="0"/>
    <n v="0"/>
    <m/>
    <n v="0"/>
    <m/>
    <m/>
    <m/>
    <n v="0"/>
    <n v="0"/>
    <m/>
    <m/>
    <m/>
    <m/>
    <m/>
    <m/>
    <m/>
    <m/>
    <m/>
    <m/>
    <m/>
    <m/>
  </r>
  <r>
    <x v="4"/>
    <s v="Southern Crescent Technical College"/>
    <s v="Is the merger of Flint River Tech. Col. and Griffin Tech.l Col."/>
    <n v="139986"/>
    <x v="9"/>
    <n v="225842.3"/>
    <n v="256231.7"/>
    <n v="187163.3"/>
    <n v="201971.7"/>
    <m/>
    <m/>
    <n v="38679"/>
    <n v="0"/>
    <n v="0"/>
    <n v="54260"/>
    <n v="0"/>
    <m/>
    <m/>
    <m/>
    <n v="0"/>
    <n v="0"/>
    <m/>
    <m/>
    <m/>
    <m/>
    <m/>
    <m/>
    <m/>
    <m/>
    <m/>
    <m/>
    <m/>
    <m/>
  </r>
  <r>
    <x v="4"/>
    <s v="Gwinnett Technical College"/>
    <m/>
    <n v="140012"/>
    <x v="9"/>
    <n v="229812"/>
    <n v="268300"/>
    <n v="175979"/>
    <n v="204070"/>
    <m/>
    <m/>
    <n v="53833"/>
    <n v="0"/>
    <n v="0"/>
    <n v="64230"/>
    <n v="0"/>
    <m/>
    <m/>
    <m/>
    <n v="0"/>
    <n v="0"/>
    <m/>
    <m/>
    <m/>
    <m/>
    <m/>
    <m/>
    <m/>
    <m/>
    <m/>
    <m/>
    <m/>
    <m/>
  </r>
  <r>
    <x v="4"/>
    <s v="Heart of Georgia Technical College"/>
    <m/>
    <n v="140076"/>
    <x v="9"/>
    <n v="60528"/>
    <n v="68011"/>
    <n v="53874"/>
    <n v="61422"/>
    <m/>
    <m/>
    <n v="4642"/>
    <n v="2012"/>
    <n v="0"/>
    <n v="5204"/>
    <n v="1385"/>
    <m/>
    <m/>
    <m/>
    <n v="0"/>
    <n v="0"/>
    <m/>
    <m/>
    <m/>
    <m/>
    <m/>
    <m/>
    <m/>
    <m/>
    <m/>
    <m/>
    <m/>
    <m/>
  </r>
  <r>
    <x v="4"/>
    <s v="Lanier Technical College"/>
    <m/>
    <n v="140243"/>
    <x v="9"/>
    <n v="136384.5"/>
    <n v="164468"/>
    <n v="95320.5"/>
    <n v="111210"/>
    <m/>
    <m/>
    <n v="41064"/>
    <n v="0"/>
    <n v="0"/>
    <n v="53258"/>
    <n v="0"/>
    <m/>
    <m/>
    <m/>
    <n v="0"/>
    <n v="0"/>
    <m/>
    <m/>
    <m/>
    <m/>
    <m/>
    <m/>
    <m/>
    <m/>
    <m/>
    <m/>
    <m/>
    <m/>
  </r>
  <r>
    <x v="4"/>
    <s v="Middle Georgia Technical College"/>
    <m/>
    <n v="140085"/>
    <x v="9"/>
    <n v="136968"/>
    <n v="176705"/>
    <n v="110966"/>
    <n v="140470"/>
    <m/>
    <m/>
    <n v="26002"/>
    <n v="0"/>
    <n v="0"/>
    <n v="36235"/>
    <n v="0"/>
    <m/>
    <m/>
    <m/>
    <n v="0"/>
    <n v="0"/>
    <m/>
    <m/>
    <m/>
    <m/>
    <m/>
    <m/>
    <m/>
    <m/>
    <m/>
    <m/>
    <m/>
    <m/>
  </r>
  <r>
    <x v="4"/>
    <s v="Moultrie Technical College"/>
    <m/>
    <n v="140599"/>
    <x v="9"/>
    <n v="95237"/>
    <n v="106034"/>
    <n v="80188"/>
    <n v="88645"/>
    <m/>
    <m/>
    <n v="15049"/>
    <n v="0"/>
    <n v="0"/>
    <n v="17389"/>
    <n v="0"/>
    <m/>
    <m/>
    <m/>
    <n v="0"/>
    <n v="0"/>
    <m/>
    <m/>
    <m/>
    <m/>
    <m/>
    <m/>
    <m/>
    <m/>
    <m/>
    <m/>
    <m/>
    <m/>
  </r>
  <r>
    <x v="4"/>
    <s v="North Georgia Technical College"/>
    <m/>
    <n v="140678"/>
    <x v="9"/>
    <n v="113701"/>
    <n v="126629"/>
    <n v="88224"/>
    <n v="101174"/>
    <m/>
    <m/>
    <n v="21682"/>
    <n v="3795"/>
    <n v="0"/>
    <n v="21270"/>
    <n v="4185"/>
    <m/>
    <m/>
    <m/>
    <n v="0"/>
    <n v="0"/>
    <m/>
    <m/>
    <m/>
    <m/>
    <m/>
    <m/>
    <m/>
    <m/>
    <m/>
    <m/>
    <m/>
    <m/>
  </r>
  <r>
    <x v="4"/>
    <s v="Ogeechee Technical College"/>
    <m/>
    <n v="366465"/>
    <x v="9"/>
    <n v="91114"/>
    <n v="110287"/>
    <n v="68984"/>
    <n v="81278"/>
    <m/>
    <m/>
    <n v="22130"/>
    <n v="0"/>
    <n v="0"/>
    <n v="29009"/>
    <n v="0"/>
    <m/>
    <m/>
    <m/>
    <n v="0"/>
    <n v="0"/>
    <m/>
    <m/>
    <m/>
    <m/>
    <m/>
    <m/>
    <m/>
    <m/>
    <m/>
    <m/>
    <m/>
    <m/>
  </r>
  <r>
    <x v="4"/>
    <s v="Okefenokee Technical College"/>
    <m/>
    <n v="248776"/>
    <x v="9"/>
    <n v="58188"/>
    <n v="63485.5"/>
    <n v="53560"/>
    <n v="57188.5"/>
    <m/>
    <m/>
    <n v="4628"/>
    <n v="0"/>
    <n v="0"/>
    <n v="6297"/>
    <n v="0"/>
    <m/>
    <m/>
    <m/>
    <n v="0"/>
    <n v="0"/>
    <m/>
    <m/>
    <m/>
    <m/>
    <m/>
    <m/>
    <m/>
    <m/>
    <m/>
    <m/>
    <m/>
    <m/>
  </r>
  <r>
    <x v="4"/>
    <s v="Savannah Technical College"/>
    <m/>
    <n v="140942"/>
    <x v="9"/>
    <n v="196339"/>
    <n v="219242"/>
    <n v="161430"/>
    <n v="175478"/>
    <m/>
    <m/>
    <n v="34884"/>
    <n v="25"/>
    <n v="0"/>
    <n v="43764"/>
    <n v="0"/>
    <m/>
    <m/>
    <m/>
    <n v="0"/>
    <n v="0"/>
    <m/>
    <m/>
    <m/>
    <m/>
    <m/>
    <m/>
    <m/>
    <m/>
    <m/>
    <m/>
    <m/>
    <m/>
  </r>
  <r>
    <x v="4"/>
    <s v="South Georgia Technical College"/>
    <m/>
    <n v="141006"/>
    <x v="9"/>
    <n v="102285"/>
    <n v="121500"/>
    <n v="90704"/>
    <n v="103542"/>
    <m/>
    <m/>
    <n v="11581"/>
    <n v="0"/>
    <n v="0"/>
    <n v="17958"/>
    <n v="0"/>
    <m/>
    <m/>
    <m/>
    <n v="0"/>
    <n v="0"/>
    <m/>
    <m/>
    <m/>
    <m/>
    <m/>
    <m/>
    <m/>
    <m/>
    <m/>
    <m/>
    <m/>
    <m/>
  </r>
  <r>
    <x v="4"/>
    <s v="Southeastern Technical College"/>
    <m/>
    <n v="368911"/>
    <x v="9"/>
    <n v="71487"/>
    <n v="77739"/>
    <n v="59388"/>
    <n v="62917"/>
    <n v="0"/>
    <m/>
    <n v="11767"/>
    <n v="0"/>
    <n v="332"/>
    <n v="14822"/>
    <n v="0"/>
    <m/>
    <n v="0"/>
    <m/>
    <n v="0"/>
    <n v="0"/>
    <m/>
    <m/>
    <m/>
    <m/>
    <m/>
    <m/>
    <m/>
    <m/>
    <m/>
    <m/>
    <m/>
    <m/>
  </r>
  <r>
    <x v="4"/>
    <s v="Southwest Georgia Technical College"/>
    <m/>
    <n v="141158"/>
    <x v="9"/>
    <n v="58063.4"/>
    <n v="63073.5"/>
    <n v="48075.4"/>
    <n v="51614.5"/>
    <m/>
    <m/>
    <n v="9988"/>
    <n v="0"/>
    <n v="0"/>
    <n v="11459"/>
    <n v="0"/>
    <m/>
    <m/>
    <m/>
    <n v="0"/>
    <n v="0"/>
    <m/>
    <m/>
    <m/>
    <m/>
    <m/>
    <m/>
    <m/>
    <m/>
    <m/>
    <m/>
    <m/>
    <m/>
  </r>
  <r>
    <x v="4"/>
    <s v="East Central Technical College"/>
    <m/>
    <n v="139126"/>
    <x v="9"/>
    <n v="64968"/>
    <n v="0"/>
    <n v="57523"/>
    <m/>
    <m/>
    <m/>
    <n v="7445"/>
    <n v="0"/>
    <n v="0"/>
    <m/>
    <m/>
    <m/>
    <m/>
    <m/>
    <n v="0"/>
    <n v="0"/>
    <m/>
    <m/>
    <m/>
    <m/>
    <m/>
    <m/>
    <m/>
    <m/>
    <m/>
    <m/>
    <m/>
    <m/>
  </r>
  <r>
    <x v="4"/>
    <s v="Valdosta Technical College  "/>
    <m/>
    <n v="141255"/>
    <x v="9"/>
    <n v="120468"/>
    <n v="35682"/>
    <n v="107382"/>
    <m/>
    <m/>
    <m/>
    <n v="13086"/>
    <n v="0"/>
    <n v="0"/>
    <n v="35682"/>
    <n v="0"/>
    <m/>
    <m/>
    <m/>
    <n v="0"/>
    <n v="0"/>
    <m/>
    <m/>
    <m/>
    <m/>
    <m/>
    <m/>
    <m/>
    <m/>
    <m/>
    <m/>
    <m/>
    <m/>
  </r>
  <r>
    <x v="4"/>
    <s v="Wiregrass Georgia Technical College"/>
    <s v="Is the merger of East Central Tech. Col. and Valdosta Tech. Col."/>
    <n v="141255"/>
    <x v="9"/>
    <n v="185436"/>
    <n v="224873"/>
    <n v="164905"/>
    <n v="189191"/>
    <m/>
    <m/>
    <n v="20531"/>
    <n v="0"/>
    <n v="0"/>
    <n v="35682"/>
    <n v="0"/>
    <m/>
    <m/>
    <m/>
    <n v="0"/>
    <n v="0"/>
    <m/>
    <m/>
    <m/>
    <m/>
    <m/>
    <m/>
    <m/>
    <m/>
    <m/>
    <m/>
    <m/>
    <m/>
  </r>
  <r>
    <x v="4"/>
    <s v="West Georgia Technical College"/>
    <m/>
    <n v="139278"/>
    <x v="9"/>
    <n v="236439"/>
    <n v="277254"/>
    <n v="202474"/>
    <n v="230828"/>
    <n v="0"/>
    <m/>
    <n v="33965"/>
    <n v="0"/>
    <n v="0"/>
    <n v="46426"/>
    <n v="0"/>
    <m/>
    <n v="0"/>
    <m/>
    <n v="0"/>
    <n v="0"/>
    <m/>
    <m/>
    <m/>
    <m/>
    <m/>
    <m/>
    <m/>
    <m/>
    <m/>
    <m/>
    <m/>
    <m/>
  </r>
  <r>
    <x v="4"/>
    <s v="Altamaha Technical College"/>
    <s v="Reclassified: met criteria for Technical Institute or College 1 in 2008-09, 2009-10 and 2010-11."/>
    <n v="366447"/>
    <x v="9"/>
    <n v="46303"/>
    <n v="63704"/>
    <n v="44400"/>
    <n v="55399"/>
    <m/>
    <m/>
    <n v="1903"/>
    <n v="0"/>
    <n v="0"/>
    <n v="8305"/>
    <n v="0"/>
    <m/>
    <m/>
    <m/>
    <n v="0"/>
    <n v="0"/>
    <m/>
    <m/>
    <m/>
    <m/>
    <m/>
    <m/>
    <m/>
    <m/>
    <m/>
    <m/>
    <m/>
    <m/>
  </r>
  <r>
    <x v="4"/>
    <s v="Sandersville Technical College"/>
    <m/>
    <n v="420431"/>
    <x v="10"/>
    <n v="33500"/>
    <n v="37373"/>
    <n v="31003"/>
    <n v="31247"/>
    <m/>
    <m/>
    <n v="2497"/>
    <n v="0"/>
    <n v="0"/>
    <n v="6126"/>
    <n v="0"/>
    <m/>
    <m/>
    <m/>
    <n v="0"/>
    <n v="0"/>
    <m/>
    <m/>
    <m/>
    <m/>
    <m/>
    <m/>
    <m/>
    <m/>
    <m/>
    <m/>
    <m/>
    <m/>
  </r>
  <r>
    <x v="5"/>
    <s v="University of Kentucky"/>
    <m/>
    <n v="157085"/>
    <x v="0"/>
    <n v="521460"/>
    <n v="539913"/>
    <n v="507053"/>
    <n v="521382"/>
    <n v="6607"/>
    <n v="2828"/>
    <n v="4691"/>
    <m/>
    <n v="3109"/>
    <n v="13218"/>
    <n v="1309"/>
    <n v="1176"/>
    <m/>
    <m/>
    <n v="78715"/>
    <n v="80488"/>
    <n v="68464"/>
    <n v="69004"/>
    <n v="6075"/>
    <n v="2949"/>
    <n v="3832"/>
    <m/>
    <n v="344"/>
    <n v="7841"/>
    <n v="340"/>
    <n v="354"/>
    <m/>
    <m/>
  </r>
  <r>
    <x v="5"/>
    <s v="University of Louisville"/>
    <m/>
    <n v="157289"/>
    <x v="0"/>
    <n v="389422"/>
    <n v="393895"/>
    <n v="358440"/>
    <n v="360400"/>
    <n v="9780"/>
    <n v="9053"/>
    <n v="21202"/>
    <m/>
    <n v="0"/>
    <n v="24442"/>
    <m/>
    <m/>
    <m/>
    <m/>
    <n v="76001"/>
    <n v="78088"/>
    <n v="68025"/>
    <n v="69917"/>
    <n v="3824"/>
    <n v="4189"/>
    <n v="4152"/>
    <m/>
    <m/>
    <n v="3982"/>
    <m/>
    <m/>
    <m/>
    <m/>
  </r>
  <r>
    <x v="5"/>
    <s v="Eastern Kentucky University "/>
    <m/>
    <n v="156620"/>
    <x v="2"/>
    <n v="374976"/>
    <n v="381237"/>
    <n v="299348"/>
    <n v="300117"/>
    <n v="28313"/>
    <n v="28339"/>
    <n v="38045"/>
    <n v="9270"/>
    <n v="0"/>
    <n v="44099"/>
    <n v="8682"/>
    <m/>
    <m/>
    <m/>
    <n v="33788"/>
    <n v="33745"/>
    <n v="20356"/>
    <n v="18517"/>
    <n v="1350"/>
    <n v="1363"/>
    <n v="10843"/>
    <n v="1239"/>
    <m/>
    <n v="12521"/>
    <n v="1344"/>
    <m/>
    <m/>
    <m/>
  </r>
  <r>
    <x v="5"/>
    <s v="Murray State University "/>
    <m/>
    <n v="157401"/>
    <x v="2"/>
    <n v="219921"/>
    <n v="220191"/>
    <n v="195731"/>
    <n v="193285"/>
    <n v="10599"/>
    <n v="8199"/>
    <n v="10333"/>
    <n v="3258"/>
    <n v="0"/>
    <n v="12583"/>
    <n v="6124"/>
    <m/>
    <m/>
    <m/>
    <n v="26257"/>
    <n v="29144"/>
    <n v="15150"/>
    <n v="16036"/>
    <n v="4530"/>
    <n v="3778"/>
    <n v="5656"/>
    <n v="921"/>
    <m/>
    <n v="7401"/>
    <n v="1929"/>
    <m/>
    <m/>
    <m/>
  </r>
  <r>
    <x v="5"/>
    <s v="Western Kentucky University "/>
    <m/>
    <n v="157951"/>
    <x v="2"/>
    <n v="452565"/>
    <n v="464035"/>
    <n v="355401"/>
    <n v="351307"/>
    <n v="37230"/>
    <n v="43182"/>
    <n v="49524"/>
    <n v="8638"/>
    <n v="1772"/>
    <n v="58991"/>
    <n v="9208"/>
    <n v="1347"/>
    <m/>
    <m/>
    <n v="40729"/>
    <n v="44392"/>
    <n v="19421"/>
    <n v="20075"/>
    <n v="2518"/>
    <n v="2496"/>
    <n v="18203"/>
    <n v="587"/>
    <m/>
    <n v="21169"/>
    <n v="636"/>
    <n v="16"/>
    <m/>
    <m/>
  </r>
  <r>
    <x v="5"/>
    <s v="Morehead State University "/>
    <s v="Reclassified: met the criteria for Four-Year 3 in 2008-09, 2009-10 and 2010-11."/>
    <n v="157386"/>
    <x v="2"/>
    <n v="186130"/>
    <n v="182291"/>
    <n v="135136"/>
    <n v="129758"/>
    <n v="14289"/>
    <n v="13378"/>
    <n v="28300"/>
    <n v="8405"/>
    <n v="0"/>
    <n v="30372"/>
    <n v="8783"/>
    <m/>
    <m/>
    <m/>
    <n v="19311"/>
    <n v="19998"/>
    <n v="5412"/>
    <n v="5255"/>
    <n v="642"/>
    <n v="378"/>
    <n v="12519"/>
    <n v="738"/>
    <m/>
    <n v="13378"/>
    <n v="987"/>
    <m/>
    <m/>
    <m/>
  </r>
  <r>
    <x v="5"/>
    <s v="Northern Kentucky University "/>
    <m/>
    <n v="157447"/>
    <x v="3"/>
    <n v="329480"/>
    <n v="331893"/>
    <n v="289848"/>
    <n v="286917"/>
    <n v="14100"/>
    <n v="13733"/>
    <n v="25532"/>
    <m/>
    <n v="0"/>
    <n v="31243"/>
    <m/>
    <m/>
    <m/>
    <m/>
    <n v="35949"/>
    <n v="37581"/>
    <n v="28331"/>
    <n v="29269"/>
    <n v="1087"/>
    <n v="1026"/>
    <n v="6531"/>
    <m/>
    <m/>
    <n v="7286"/>
    <m/>
    <m/>
    <m/>
    <m/>
  </r>
  <r>
    <x v="5"/>
    <s v="Kentucky State University "/>
    <s v="Reclassified: met the criteria for Four-Year 4 in 2008-09, 2009-10 and 2010-11."/>
    <n v="157058"/>
    <x v="3"/>
    <n v="63153"/>
    <n v="66536"/>
    <n v="56285"/>
    <n v="57442"/>
    <m/>
    <m/>
    <n v="6868"/>
    <n v="0"/>
    <m/>
    <n v="9085"/>
    <m/>
    <n v="9"/>
    <m/>
    <m/>
    <n v="2647"/>
    <n v="3518"/>
    <n v="1354"/>
    <n v="1808"/>
    <m/>
    <m/>
    <n v="1293"/>
    <m/>
    <m/>
    <n v="1710"/>
    <m/>
    <m/>
    <m/>
    <m/>
  </r>
  <r>
    <x v="5"/>
    <s v="Bluegrass Community and Technical College"/>
    <m/>
    <n v="157173"/>
    <x v="6"/>
    <n v="252253"/>
    <n v="279169"/>
    <n v="169193"/>
    <n v="179183"/>
    <n v="22531"/>
    <n v="28605"/>
    <n v="59368"/>
    <n v="1161"/>
    <n v="0"/>
    <n v="70516"/>
    <n v="865"/>
    <m/>
    <m/>
    <m/>
    <n v="0"/>
    <n v="0"/>
    <m/>
    <m/>
    <m/>
    <m/>
    <m/>
    <m/>
    <m/>
    <m/>
    <m/>
    <m/>
    <m/>
    <m/>
  </r>
  <r>
    <x v="5"/>
    <s v="Jefferson Community and Technical College "/>
    <m/>
    <n v="156921"/>
    <x v="6"/>
    <n v="256566"/>
    <n v="274026"/>
    <n v="198304"/>
    <n v="212295"/>
    <n v="15415"/>
    <n v="14192"/>
    <n v="41607"/>
    <n v="1240"/>
    <n v="0"/>
    <n v="46980"/>
    <n v="559"/>
    <m/>
    <m/>
    <m/>
    <n v="0"/>
    <n v="0"/>
    <m/>
    <m/>
    <m/>
    <m/>
    <m/>
    <m/>
    <m/>
    <m/>
    <m/>
    <m/>
    <m/>
    <m/>
  </r>
  <r>
    <x v="5"/>
    <s v="Ashland Community and Technical College"/>
    <m/>
    <n v="156231"/>
    <x v="7"/>
    <n v="75116"/>
    <n v="86918"/>
    <n v="53014"/>
    <n v="59880"/>
    <n v="9012"/>
    <n v="9337"/>
    <n v="13090"/>
    <m/>
    <n v="0"/>
    <n v="17701"/>
    <m/>
    <m/>
    <m/>
    <m/>
    <n v="0"/>
    <n v="0"/>
    <m/>
    <m/>
    <m/>
    <m/>
    <m/>
    <m/>
    <m/>
    <m/>
    <m/>
    <m/>
    <m/>
    <m/>
  </r>
  <r>
    <x v="5"/>
    <s v="Big Sandy Community and Technical College "/>
    <m/>
    <n v="157553"/>
    <x v="7"/>
    <n v="82437"/>
    <n v="93039"/>
    <n v="36329"/>
    <n v="41460"/>
    <n v="9650"/>
    <n v="11014"/>
    <n v="35927"/>
    <n v="531"/>
    <m/>
    <n v="40023"/>
    <n v="542"/>
    <m/>
    <m/>
    <m/>
    <n v="0"/>
    <n v="0"/>
    <m/>
    <m/>
    <m/>
    <m/>
    <m/>
    <m/>
    <m/>
    <m/>
    <m/>
    <m/>
    <m/>
    <m/>
  </r>
  <r>
    <x v="5"/>
    <s v="Elizabethtown Community and Technical College "/>
    <m/>
    <n v="156648"/>
    <x v="7"/>
    <n v="111450"/>
    <n v="129073"/>
    <n v="87040"/>
    <n v="98838"/>
    <n v="2835"/>
    <n v="2322"/>
    <n v="21575"/>
    <n v="0"/>
    <m/>
    <n v="27913"/>
    <m/>
    <m/>
    <m/>
    <m/>
    <n v="0"/>
    <n v="0"/>
    <m/>
    <m/>
    <m/>
    <m/>
    <m/>
    <m/>
    <m/>
    <m/>
    <m/>
    <m/>
    <m/>
    <m/>
  </r>
  <r>
    <x v="5"/>
    <s v="Madisonville Community College"/>
    <m/>
    <n v="157304"/>
    <x v="7"/>
    <n v="64167"/>
    <n v="64799"/>
    <n v="56324"/>
    <n v="53693"/>
    <n v="251"/>
    <n v="483"/>
    <n v="7553"/>
    <n v="39"/>
    <n v="0"/>
    <n v="10623"/>
    <m/>
    <m/>
    <m/>
    <m/>
    <n v="0"/>
    <n v="0"/>
    <m/>
    <m/>
    <m/>
    <m/>
    <m/>
    <m/>
    <m/>
    <m/>
    <m/>
    <m/>
    <m/>
    <m/>
  </r>
  <r>
    <x v="5"/>
    <s v="Maysville Community and Technical College "/>
    <m/>
    <n v="157331"/>
    <x v="7"/>
    <n v="87464"/>
    <n v="101898"/>
    <n v="33136"/>
    <n v="35727"/>
    <n v="12604"/>
    <n v="15957"/>
    <n v="40068"/>
    <n v="1656"/>
    <m/>
    <n v="47911"/>
    <n v="2303"/>
    <m/>
    <m/>
    <m/>
    <n v="0"/>
    <n v="0"/>
    <m/>
    <m/>
    <m/>
    <m/>
    <m/>
    <m/>
    <m/>
    <m/>
    <m/>
    <m/>
    <m/>
    <m/>
  </r>
  <r>
    <x v="5"/>
    <s v="Owensboro Community and Technical College "/>
    <m/>
    <n v="247940"/>
    <x v="7"/>
    <n v="89523"/>
    <n v="98974"/>
    <n v="81197"/>
    <n v="88307"/>
    <n v="775"/>
    <n v="820"/>
    <n v="7551"/>
    <m/>
    <n v="0"/>
    <n v="9847"/>
    <m/>
    <m/>
    <m/>
    <m/>
    <n v="0"/>
    <n v="0"/>
    <m/>
    <m/>
    <m/>
    <m/>
    <m/>
    <m/>
    <m/>
    <m/>
    <m/>
    <m/>
    <m/>
    <m/>
  </r>
  <r>
    <x v="5"/>
    <s v="Somerset Community and Technical College "/>
    <m/>
    <n v="157711"/>
    <x v="7"/>
    <n v="130919"/>
    <n v="164331"/>
    <n v="92916"/>
    <n v="102798"/>
    <n v="4297"/>
    <n v="5810"/>
    <n v="27523"/>
    <n v="6183"/>
    <n v="0"/>
    <n v="48956"/>
    <n v="6767"/>
    <m/>
    <m/>
    <m/>
    <n v="0"/>
    <n v="0"/>
    <m/>
    <m/>
    <m/>
    <m/>
    <m/>
    <m/>
    <m/>
    <m/>
    <m/>
    <m/>
    <m/>
    <m/>
  </r>
  <r>
    <x v="5"/>
    <s v="Southeast Kentucky Community and Technical College"/>
    <s v="Met the criteria for classification as a Two-Year 2 in 2010-11."/>
    <n v="157739"/>
    <x v="7"/>
    <n v="66403"/>
    <n v="76086"/>
    <n v="24532"/>
    <n v="26164"/>
    <n v="25438"/>
    <n v="28175"/>
    <n v="14928"/>
    <n v="1505"/>
    <n v="0"/>
    <n v="18930"/>
    <n v="2817"/>
    <m/>
    <m/>
    <m/>
    <n v="0"/>
    <n v="0"/>
    <m/>
    <m/>
    <m/>
    <m/>
    <m/>
    <m/>
    <m/>
    <m/>
    <m/>
    <m/>
    <m/>
    <m/>
  </r>
  <r>
    <x v="5"/>
    <s v="West Kentucky Community and Technical College"/>
    <m/>
    <n v="157483"/>
    <x v="7"/>
    <n v="107791"/>
    <n v="122445"/>
    <n v="75568"/>
    <n v="81396"/>
    <n v="3177"/>
    <n v="2607"/>
    <n v="28658"/>
    <n v="388"/>
    <m/>
    <n v="38046"/>
    <n v="396"/>
    <m/>
    <m/>
    <m/>
    <n v="0"/>
    <n v="0"/>
    <m/>
    <m/>
    <m/>
    <m/>
    <m/>
    <m/>
    <m/>
    <m/>
    <m/>
    <m/>
    <m/>
    <m/>
  </r>
  <r>
    <x v="5"/>
    <s v="Hazard Community and Technical College"/>
    <s v="Met the criteria for classification as a Two-Year 2 in 2010-11."/>
    <n v="156790"/>
    <x v="8"/>
    <n v="58419"/>
    <n v="69676"/>
    <n v="44466"/>
    <n v="50684"/>
    <n v="343"/>
    <n v="336"/>
    <n v="12262"/>
    <n v="1348"/>
    <m/>
    <n v="16928"/>
    <n v="1728"/>
    <m/>
    <m/>
    <m/>
    <n v="0"/>
    <n v="0"/>
    <m/>
    <m/>
    <m/>
    <m/>
    <m/>
    <m/>
    <m/>
    <m/>
    <m/>
    <m/>
    <m/>
    <m/>
  </r>
  <r>
    <x v="5"/>
    <s v="Henderson Community College "/>
    <m/>
    <n v="156851"/>
    <x v="8"/>
    <n v="40244"/>
    <n v="45194"/>
    <n v="24759"/>
    <n v="26790"/>
    <n v="567"/>
    <n v="939"/>
    <n v="14571"/>
    <n v="347"/>
    <m/>
    <n v="17071"/>
    <n v="394"/>
    <m/>
    <m/>
    <m/>
    <n v="0"/>
    <n v="0"/>
    <m/>
    <m/>
    <m/>
    <m/>
    <m/>
    <m/>
    <m/>
    <m/>
    <m/>
    <m/>
    <m/>
    <m/>
  </r>
  <r>
    <x v="5"/>
    <s v="Hopkinsville Community College "/>
    <s v="Met the criteria for Two-Year 2 in 2009-10 and 2010-11."/>
    <n v="156860"/>
    <x v="8"/>
    <n v="69001"/>
    <n v="75637"/>
    <n v="51219"/>
    <n v="55330"/>
    <n v="3051"/>
    <n v="2945"/>
    <n v="14731"/>
    <m/>
    <m/>
    <n v="17362"/>
    <m/>
    <m/>
    <m/>
    <m/>
    <n v="0"/>
    <n v="0"/>
    <m/>
    <m/>
    <m/>
    <m/>
    <m/>
    <m/>
    <m/>
    <m/>
    <m/>
    <m/>
    <m/>
    <m/>
  </r>
  <r>
    <x v="5"/>
    <s v="Bowling Green Technical College"/>
    <m/>
    <n v="156338"/>
    <x v="9"/>
    <n v="51294"/>
    <n v="67511"/>
    <n v="46158"/>
    <n v="59290"/>
    <n v="566"/>
    <n v="810"/>
    <n v="4570"/>
    <m/>
    <m/>
    <n v="7411"/>
    <m/>
    <m/>
    <m/>
    <m/>
    <n v="0"/>
    <n v="0"/>
    <m/>
    <m/>
    <m/>
    <m/>
    <m/>
    <m/>
    <m/>
    <m/>
    <m/>
    <m/>
    <m/>
    <m/>
  </r>
  <r>
    <x v="5"/>
    <s v="Gateway Community and Technical College"/>
    <m/>
    <n v="157438"/>
    <x v="9"/>
    <n v="59201"/>
    <n v="70022"/>
    <n v="58104"/>
    <n v="67062"/>
    <n v="0"/>
    <m/>
    <n v="1097"/>
    <m/>
    <m/>
    <n v="2960"/>
    <m/>
    <m/>
    <m/>
    <m/>
    <n v="0"/>
    <n v="0"/>
    <m/>
    <m/>
    <m/>
    <m/>
    <m/>
    <m/>
    <m/>
    <m/>
    <m/>
    <m/>
    <m/>
    <m/>
  </r>
  <r>
    <x v="6"/>
    <s v="Louisiana State University and A&amp;M College"/>
    <m/>
    <n v="159391"/>
    <x v="0"/>
    <n v="0"/>
    <n v="0"/>
    <m/>
    <m/>
    <m/>
    <m/>
    <m/>
    <m/>
    <m/>
    <m/>
    <m/>
    <m/>
    <m/>
    <m/>
    <n v="0"/>
    <n v="0"/>
    <m/>
    <m/>
    <m/>
    <m/>
    <m/>
    <m/>
    <m/>
    <m/>
    <m/>
    <m/>
    <m/>
    <m/>
  </r>
  <r>
    <x v="6"/>
    <s v="Louisiana Tech University "/>
    <m/>
    <n v="159647"/>
    <x v="1"/>
    <n v="0"/>
    <n v="0"/>
    <m/>
    <m/>
    <m/>
    <m/>
    <m/>
    <m/>
    <m/>
    <m/>
    <m/>
    <m/>
    <m/>
    <m/>
    <n v="0"/>
    <n v="0"/>
    <m/>
    <m/>
    <m/>
    <m/>
    <m/>
    <m/>
    <m/>
    <m/>
    <m/>
    <m/>
    <m/>
    <m/>
  </r>
  <r>
    <x v="6"/>
    <s v="University of Louisiana at Lafayette"/>
    <m/>
    <n v="160658"/>
    <x v="1"/>
    <n v="0"/>
    <n v="0"/>
    <m/>
    <m/>
    <m/>
    <m/>
    <m/>
    <m/>
    <m/>
    <m/>
    <m/>
    <m/>
    <m/>
    <m/>
    <n v="0"/>
    <n v="0"/>
    <m/>
    <m/>
    <m/>
    <m/>
    <m/>
    <m/>
    <m/>
    <m/>
    <m/>
    <m/>
    <m/>
    <m/>
  </r>
  <r>
    <x v="6"/>
    <s v="University of New Orleans"/>
    <m/>
    <n v="159939"/>
    <x v="1"/>
    <n v="0"/>
    <n v="0"/>
    <m/>
    <m/>
    <m/>
    <m/>
    <m/>
    <m/>
    <m/>
    <m/>
    <m/>
    <m/>
    <m/>
    <m/>
    <n v="0"/>
    <n v="0"/>
    <m/>
    <m/>
    <m/>
    <m/>
    <m/>
    <m/>
    <m/>
    <m/>
    <m/>
    <m/>
    <m/>
    <m/>
  </r>
  <r>
    <x v="6"/>
    <s v="Southeastern Louisiana University "/>
    <m/>
    <n v="160612"/>
    <x v="2"/>
    <n v="0"/>
    <n v="0"/>
    <m/>
    <m/>
    <m/>
    <m/>
    <m/>
    <m/>
    <m/>
    <m/>
    <m/>
    <m/>
    <m/>
    <m/>
    <n v="0"/>
    <n v="0"/>
    <m/>
    <m/>
    <m/>
    <m/>
    <m/>
    <m/>
    <m/>
    <m/>
    <m/>
    <m/>
    <m/>
    <m/>
  </r>
  <r>
    <x v="6"/>
    <s v="Southern University and A&amp;M College at Baton Rouge "/>
    <m/>
    <n v="160621"/>
    <x v="2"/>
    <n v="0"/>
    <n v="0"/>
    <m/>
    <m/>
    <m/>
    <m/>
    <m/>
    <m/>
    <m/>
    <m/>
    <m/>
    <m/>
    <m/>
    <m/>
    <n v="0"/>
    <n v="0"/>
    <m/>
    <m/>
    <m/>
    <m/>
    <m/>
    <m/>
    <m/>
    <m/>
    <m/>
    <m/>
    <m/>
    <m/>
  </r>
  <r>
    <x v="6"/>
    <s v="University of Louisiana at Monroe"/>
    <m/>
    <n v="159993"/>
    <x v="2"/>
    <n v="0"/>
    <n v="0"/>
    <m/>
    <m/>
    <m/>
    <m/>
    <m/>
    <m/>
    <m/>
    <m/>
    <m/>
    <m/>
    <m/>
    <m/>
    <n v="0"/>
    <n v="0"/>
    <m/>
    <m/>
    <m/>
    <m/>
    <m/>
    <m/>
    <m/>
    <m/>
    <m/>
    <m/>
    <m/>
    <m/>
  </r>
  <r>
    <x v="6"/>
    <s v="Grambling State University"/>
    <m/>
    <n v="159009"/>
    <x v="3"/>
    <n v="0"/>
    <n v="0"/>
    <m/>
    <m/>
    <m/>
    <m/>
    <m/>
    <m/>
    <m/>
    <m/>
    <m/>
    <m/>
    <m/>
    <m/>
    <n v="0"/>
    <n v="0"/>
    <m/>
    <m/>
    <m/>
    <m/>
    <m/>
    <m/>
    <m/>
    <m/>
    <m/>
    <m/>
    <m/>
    <m/>
  </r>
  <r>
    <x v="6"/>
    <s v="Louisiana State University in Shreveport"/>
    <m/>
    <n v="159416"/>
    <x v="3"/>
    <n v="0"/>
    <n v="0"/>
    <m/>
    <m/>
    <m/>
    <m/>
    <m/>
    <m/>
    <m/>
    <m/>
    <m/>
    <m/>
    <m/>
    <m/>
    <n v="0"/>
    <n v="0"/>
    <m/>
    <m/>
    <m/>
    <m/>
    <m/>
    <m/>
    <m/>
    <m/>
    <m/>
    <m/>
    <m/>
    <m/>
  </r>
  <r>
    <x v="6"/>
    <s v="McNeese State University"/>
    <m/>
    <n v="159717"/>
    <x v="3"/>
    <n v="0"/>
    <n v="0"/>
    <m/>
    <m/>
    <m/>
    <m/>
    <m/>
    <m/>
    <m/>
    <m/>
    <m/>
    <m/>
    <m/>
    <m/>
    <n v="0"/>
    <n v="0"/>
    <m/>
    <m/>
    <m/>
    <m/>
    <m/>
    <m/>
    <m/>
    <m/>
    <m/>
    <m/>
    <m/>
    <m/>
  </r>
  <r>
    <x v="6"/>
    <s v="Nicholls State University "/>
    <m/>
    <n v="159966"/>
    <x v="3"/>
    <n v="0"/>
    <n v="0"/>
    <m/>
    <m/>
    <m/>
    <m/>
    <m/>
    <m/>
    <m/>
    <m/>
    <m/>
    <m/>
    <m/>
    <m/>
    <n v="0"/>
    <n v="0"/>
    <m/>
    <m/>
    <m/>
    <m/>
    <m/>
    <m/>
    <m/>
    <m/>
    <m/>
    <m/>
    <m/>
    <m/>
  </r>
  <r>
    <x v="6"/>
    <s v="Northwestern State University"/>
    <m/>
    <n v="160038"/>
    <x v="3"/>
    <n v="0"/>
    <n v="0"/>
    <m/>
    <m/>
    <m/>
    <m/>
    <m/>
    <m/>
    <m/>
    <m/>
    <m/>
    <m/>
    <m/>
    <m/>
    <n v="0"/>
    <n v="0"/>
    <m/>
    <m/>
    <m/>
    <m/>
    <m/>
    <m/>
    <m/>
    <m/>
    <m/>
    <m/>
    <m/>
    <m/>
  </r>
  <r>
    <x v="6"/>
    <s v="Southern University at New Orleans"/>
    <s v="Met the criteria for Four-year 5 in 2010-11."/>
    <n v="160630"/>
    <x v="3"/>
    <n v="0"/>
    <n v="0"/>
    <m/>
    <m/>
    <m/>
    <m/>
    <m/>
    <m/>
    <m/>
    <m/>
    <m/>
    <m/>
    <m/>
    <m/>
    <n v="0"/>
    <n v="0"/>
    <m/>
    <m/>
    <m/>
    <m/>
    <m/>
    <m/>
    <m/>
    <m/>
    <m/>
    <m/>
    <m/>
    <m/>
  </r>
  <r>
    <x v="6"/>
    <s v="Louisiana State University at Alexandria"/>
    <s v="Met the criteria for Four-Year 6 in 2009-10 and 2010-11."/>
    <n v="159382"/>
    <x v="11"/>
    <n v="0"/>
    <n v="0"/>
    <m/>
    <m/>
    <m/>
    <m/>
    <m/>
    <m/>
    <m/>
    <m/>
    <m/>
    <m/>
    <m/>
    <m/>
    <n v="0"/>
    <n v="0"/>
    <m/>
    <m/>
    <m/>
    <m/>
    <m/>
    <m/>
    <m/>
    <m/>
    <m/>
    <m/>
    <m/>
    <m/>
  </r>
  <r>
    <x v="6"/>
    <s v="Louisiana State University at Alexandria"/>
    <s v="Met the criteria for Four-Year 6 in 2009-10 and 2010-11."/>
    <n v="159382"/>
    <x v="11"/>
    <n v="0"/>
    <n v="0"/>
    <m/>
    <m/>
    <m/>
    <m/>
    <m/>
    <m/>
    <m/>
    <m/>
    <m/>
    <m/>
    <m/>
    <m/>
    <n v="0"/>
    <n v="0"/>
    <m/>
    <m/>
    <m/>
    <m/>
    <m/>
    <m/>
    <m/>
    <m/>
    <m/>
    <m/>
    <m/>
    <m/>
  </r>
  <r>
    <x v="6"/>
    <s v="Baton Rouge Community College"/>
    <s v="Reclassified: Met criteria for Two-Year 1 in 2008-09, 2009-10 and 2010-11."/>
    <n v="437103"/>
    <x v="6"/>
    <n v="0"/>
    <n v="0"/>
    <m/>
    <m/>
    <m/>
    <m/>
    <m/>
    <m/>
    <m/>
    <m/>
    <m/>
    <m/>
    <m/>
    <m/>
    <n v="0"/>
    <n v="0"/>
    <m/>
    <m/>
    <m/>
    <m/>
    <m/>
    <m/>
    <m/>
    <m/>
    <m/>
    <m/>
    <m/>
    <m/>
  </r>
  <r>
    <x v="6"/>
    <s v="Delgado Community College "/>
    <s v="Now includes LTC-Jefferson Campus and LTC-W.Jefferson Campus"/>
    <n v="158662"/>
    <x v="6"/>
    <n v="0"/>
    <n v="0"/>
    <m/>
    <m/>
    <m/>
    <m/>
    <m/>
    <m/>
    <m/>
    <m/>
    <m/>
    <m/>
    <m/>
    <m/>
    <n v="0"/>
    <n v="0"/>
    <m/>
    <m/>
    <m/>
    <m/>
    <m/>
    <m/>
    <m/>
    <m/>
    <m/>
    <m/>
    <m/>
    <m/>
  </r>
  <r>
    <x v="6"/>
    <s v="Bossier Parish Community College"/>
    <s v="Met the criteria for Two-Year 1 in 2010-11."/>
    <n v="158431"/>
    <x v="7"/>
    <n v="0"/>
    <n v="0"/>
    <m/>
    <m/>
    <m/>
    <m/>
    <m/>
    <m/>
    <m/>
    <m/>
    <m/>
    <m/>
    <m/>
    <m/>
    <n v="0"/>
    <n v="0"/>
    <m/>
    <m/>
    <m/>
    <m/>
    <m/>
    <m/>
    <m/>
    <m/>
    <m/>
    <m/>
    <m/>
    <m/>
  </r>
  <r>
    <x v="6"/>
    <s v="Louisiana State University at Eunice"/>
    <m/>
    <n v="159407"/>
    <x v="7"/>
    <n v="0"/>
    <n v="0"/>
    <m/>
    <m/>
    <m/>
    <m/>
    <m/>
    <m/>
    <m/>
    <m/>
    <m/>
    <m/>
    <m/>
    <m/>
    <n v="0"/>
    <n v="0"/>
    <m/>
    <m/>
    <m/>
    <m/>
    <m/>
    <m/>
    <m/>
    <m/>
    <m/>
    <m/>
    <m/>
    <m/>
  </r>
  <r>
    <x v="6"/>
    <s v="South Louisiana Community College"/>
    <s v="Reclassified: Met criteria for Two-Year 2 in 2008-09, 2009-10 and 2010-11."/>
    <n v="434061"/>
    <x v="7"/>
    <n v="0"/>
    <n v="0"/>
    <m/>
    <m/>
    <m/>
    <m/>
    <m/>
    <m/>
    <m/>
    <m/>
    <m/>
    <m/>
    <m/>
    <m/>
    <n v="0"/>
    <n v="0"/>
    <m/>
    <m/>
    <m/>
    <m/>
    <m/>
    <m/>
    <m/>
    <m/>
    <m/>
    <m/>
    <m/>
    <m/>
  </r>
  <r>
    <x v="6"/>
    <s v="Louisiana Delta Community College"/>
    <s v="Now includes LTC Tallulah Campus"/>
    <n v="440624"/>
    <x v="8"/>
    <n v="0"/>
    <n v="0"/>
    <m/>
    <m/>
    <m/>
    <m/>
    <m/>
    <m/>
    <m/>
    <m/>
    <m/>
    <m/>
    <m/>
    <m/>
    <n v="0"/>
    <n v="0"/>
    <m/>
    <m/>
    <m/>
    <m/>
    <m/>
    <m/>
    <m/>
    <m/>
    <m/>
    <m/>
    <m/>
    <m/>
  </r>
  <r>
    <x v="6"/>
    <s v="Nunez Community College"/>
    <m/>
    <n v="158884"/>
    <x v="8"/>
    <n v="0"/>
    <n v="0"/>
    <m/>
    <m/>
    <m/>
    <m/>
    <m/>
    <m/>
    <m/>
    <m/>
    <m/>
    <m/>
    <m/>
    <m/>
    <n v="0"/>
    <n v="0"/>
    <m/>
    <m/>
    <m/>
    <m/>
    <m/>
    <m/>
    <m/>
    <m/>
    <m/>
    <m/>
    <m/>
    <m/>
  </r>
  <r>
    <x v="6"/>
    <s v="River Parishes Community College"/>
    <s v="Now includes LTC Ascension Campus"/>
    <n v="436304"/>
    <x v="8"/>
    <n v="0"/>
    <n v="0"/>
    <m/>
    <m/>
    <m/>
    <m/>
    <m/>
    <m/>
    <m/>
    <m/>
    <m/>
    <m/>
    <m/>
    <m/>
    <n v="0"/>
    <n v="0"/>
    <m/>
    <m/>
    <m/>
    <m/>
    <m/>
    <m/>
    <m/>
    <m/>
    <m/>
    <m/>
    <m/>
    <m/>
  </r>
  <r>
    <x v="6"/>
    <s v="Southern University in Shreveport"/>
    <s v="Met criteria for Two-Year 2 in 2009-10 and 2010-11."/>
    <n v="160649"/>
    <x v="8"/>
    <n v="0"/>
    <n v="0"/>
    <m/>
    <m/>
    <m/>
    <m/>
    <m/>
    <m/>
    <m/>
    <m/>
    <m/>
    <m/>
    <m/>
    <m/>
    <n v="0"/>
    <n v="0"/>
    <m/>
    <m/>
    <m/>
    <m/>
    <m/>
    <m/>
    <m/>
    <m/>
    <m/>
    <m/>
    <m/>
    <m/>
  </r>
  <r>
    <x v="6"/>
    <s v="Acadiana Technical College"/>
    <s v="Includes LTC Acadian, C.B. Coreil, Evangaline, Gulf Area, Lafayette, T.H. Harris and Teche Area Campuses"/>
    <m/>
    <x v="9"/>
    <n v="0"/>
    <n v="0"/>
    <m/>
    <m/>
    <m/>
    <m/>
    <m/>
    <m/>
    <m/>
    <m/>
    <m/>
    <m/>
    <m/>
    <m/>
    <n v="0"/>
    <n v="0"/>
    <m/>
    <m/>
    <m/>
    <m/>
    <m/>
    <m/>
    <m/>
    <m/>
    <m/>
    <m/>
    <m/>
    <m/>
  </r>
  <r>
    <x v="6"/>
    <s v="Capital Area Technical College"/>
    <s v="Includes LTC Baton Rouge, Folkes, Jumonville Memorial and Westside Campuses"/>
    <m/>
    <x v="9"/>
    <n v="0"/>
    <n v="0"/>
    <m/>
    <m/>
    <m/>
    <m/>
    <m/>
    <m/>
    <m/>
    <m/>
    <m/>
    <m/>
    <m/>
    <m/>
    <n v="0"/>
    <n v="0"/>
    <m/>
    <m/>
    <m/>
    <m/>
    <m/>
    <m/>
    <m/>
    <m/>
    <m/>
    <m/>
    <m/>
    <m/>
  </r>
  <r>
    <x v="6"/>
    <s v="Central LA Technical College"/>
    <s v="Includes LTC Alexandria, Avoyelles, Huey P. Long, Lamar-Salter, Morgan Smith, Oakdale and Shelby M. Jackson campuses"/>
    <m/>
    <x v="9"/>
    <n v="0"/>
    <n v="0"/>
    <m/>
    <m/>
    <m/>
    <m/>
    <m/>
    <m/>
    <m/>
    <m/>
    <m/>
    <m/>
    <m/>
    <m/>
    <n v="0"/>
    <n v="0"/>
    <m/>
    <m/>
    <m/>
    <m/>
    <m/>
    <m/>
    <m/>
    <m/>
    <m/>
    <m/>
    <m/>
    <m/>
  </r>
  <r>
    <x v="6"/>
    <s v="Northeast Technical College"/>
    <s v="Includes LTC Bastrop, Delta/Ouachita, North Central, Northeast Louisiana and Ruston Campuses"/>
    <m/>
    <x v="9"/>
    <n v="0"/>
    <n v="0"/>
    <m/>
    <m/>
    <m/>
    <m/>
    <m/>
    <m/>
    <m/>
    <m/>
    <m/>
    <m/>
    <m/>
    <m/>
    <n v="0"/>
    <n v="0"/>
    <m/>
    <m/>
    <m/>
    <m/>
    <m/>
    <m/>
    <m/>
    <m/>
    <m/>
    <m/>
    <m/>
    <m/>
  </r>
  <r>
    <x v="6"/>
    <s v="Northshore Technical College"/>
    <s v="Includes LTC Florida Parishes, Hammond Area and Sullivan Campuses"/>
    <m/>
    <x v="9"/>
    <n v="0"/>
    <n v="0"/>
    <m/>
    <m/>
    <m/>
    <m/>
    <m/>
    <m/>
    <m/>
    <m/>
    <m/>
    <m/>
    <m/>
    <m/>
    <n v="0"/>
    <n v="0"/>
    <m/>
    <m/>
    <m/>
    <m/>
    <m/>
    <m/>
    <m/>
    <m/>
    <m/>
    <m/>
    <m/>
    <m/>
  </r>
  <r>
    <x v="6"/>
    <s v="Northwest LA Technical College"/>
    <s v="Includes LTC Mansfield, Nachitoches, Northwest Louisiana, Sabine Valley and Shreveport/Bossier campuses."/>
    <m/>
    <x v="9"/>
    <n v="0"/>
    <n v="0"/>
    <m/>
    <m/>
    <m/>
    <m/>
    <m/>
    <m/>
    <m/>
    <m/>
    <m/>
    <m/>
    <m/>
    <m/>
    <n v="0"/>
    <n v="0"/>
    <m/>
    <m/>
    <m/>
    <m/>
    <m/>
    <m/>
    <m/>
    <m/>
    <m/>
    <m/>
    <m/>
    <m/>
  </r>
  <r>
    <x v="6"/>
    <s v="South Central LA Technical College"/>
    <s v="Includes LTC Laforuche, Rivers Parishes and Young Memorial Campuses"/>
    <m/>
    <x v="9"/>
    <n v="0"/>
    <n v="0"/>
    <m/>
    <m/>
    <m/>
    <m/>
    <m/>
    <m/>
    <m/>
    <m/>
    <m/>
    <m/>
    <m/>
    <m/>
    <n v="0"/>
    <n v="0"/>
    <m/>
    <m/>
    <m/>
    <m/>
    <m/>
    <m/>
    <m/>
    <m/>
    <m/>
    <m/>
    <m/>
    <m/>
  </r>
  <r>
    <x v="6"/>
    <s v="Sowela Technical Community College"/>
    <m/>
    <n v="160579"/>
    <x v="9"/>
    <n v="0"/>
    <n v="0"/>
    <m/>
    <m/>
    <m/>
    <m/>
    <m/>
    <m/>
    <m/>
    <m/>
    <m/>
    <m/>
    <m/>
    <m/>
    <n v="0"/>
    <n v="0"/>
    <m/>
    <m/>
    <m/>
    <m/>
    <m/>
    <m/>
    <m/>
    <m/>
    <m/>
    <m/>
    <m/>
    <m/>
  </r>
  <r>
    <x v="6"/>
    <s v="L.E. Fletcher Technical Community College"/>
    <s v="Met the criteria for Technical Institute or College 1 in 2009-10 and 2010-11."/>
    <n v="160481"/>
    <x v="10"/>
    <n v="0"/>
    <n v="0"/>
    <m/>
    <m/>
    <m/>
    <m/>
    <m/>
    <m/>
    <m/>
    <m/>
    <m/>
    <m/>
    <m/>
    <m/>
    <n v="0"/>
    <n v="0"/>
    <m/>
    <m/>
    <m/>
    <m/>
    <m/>
    <m/>
    <m/>
    <m/>
    <m/>
    <m/>
    <m/>
    <m/>
  </r>
  <r>
    <x v="7"/>
    <s v="University of Maryland College Park"/>
    <m/>
    <n v="163286"/>
    <x v="0"/>
    <n v="791533.5"/>
    <n v="799218"/>
    <n v="768245.5"/>
    <n v="771256"/>
    <n v="16125"/>
    <n v="16898"/>
    <n v="6812"/>
    <n v="351"/>
    <m/>
    <n v="10719"/>
    <n v="345"/>
    <m/>
    <m/>
    <m/>
    <n v="154875"/>
    <n v="156544.5"/>
    <n v="116375"/>
    <n v="115130.5"/>
    <n v="32673"/>
    <n v="35031"/>
    <n v="4988"/>
    <n v="839"/>
    <m/>
    <n v="5393"/>
    <n v="990"/>
    <m/>
    <m/>
    <m/>
  </r>
  <r>
    <x v="7"/>
    <s v="University of Maryland, Baltimore County"/>
    <m/>
    <n v="163268"/>
    <x v="1"/>
    <n v="269872"/>
    <n v="290420.5"/>
    <n v="251849"/>
    <n v="262511.5"/>
    <n v="5587"/>
    <n v="5732"/>
    <n v="12436"/>
    <m/>
    <m/>
    <n v="22177"/>
    <m/>
    <m/>
    <m/>
    <m/>
    <n v="31112"/>
    <n v="35406"/>
    <n v="23732"/>
    <n v="26415"/>
    <n v="1951"/>
    <n v="2985"/>
    <n v="5429"/>
    <m/>
    <m/>
    <n v="5494"/>
    <n v="444"/>
    <n v="68"/>
    <m/>
    <m/>
  </r>
  <r>
    <x v="7"/>
    <s v="Morgan State University"/>
    <s v="Met the criteria for  Four-Year 2 in 2009-10 and 2010-11."/>
    <n v="163453"/>
    <x v="2"/>
    <n v="168327"/>
    <n v="181220"/>
    <n v="165150"/>
    <n v="180110"/>
    <n v="2672"/>
    <n v="408"/>
    <n v="505"/>
    <m/>
    <m/>
    <n v="702"/>
    <m/>
    <m/>
    <m/>
    <m/>
    <n v="15521"/>
    <n v="17903"/>
    <n v="15238"/>
    <n v="16748"/>
    <n v="166"/>
    <n v="585"/>
    <n v="117"/>
    <m/>
    <m/>
    <n v="570"/>
    <m/>
    <m/>
    <m/>
    <m/>
  </r>
  <r>
    <x v="7"/>
    <s v="Towson University "/>
    <m/>
    <n v="164076"/>
    <x v="2"/>
    <n v="497207.5"/>
    <n v="506715.5"/>
    <n v="471868.5"/>
    <n v="471904.5"/>
    <n v="7816"/>
    <n v="9687"/>
    <n v="17523"/>
    <m/>
    <m/>
    <n v="25124"/>
    <m/>
    <m/>
    <m/>
    <m/>
    <n v="54797"/>
    <n v="58131.5"/>
    <n v="33561"/>
    <n v="35962.5"/>
    <n v="16660"/>
    <n v="15930"/>
    <n v="4576"/>
    <m/>
    <m/>
    <n v="6098"/>
    <n v="141"/>
    <m/>
    <m/>
    <m/>
  </r>
  <r>
    <x v="7"/>
    <s v="Bowie State University "/>
    <m/>
    <n v="162007"/>
    <x v="3"/>
    <n v="121611"/>
    <n v="121720"/>
    <n v="115315"/>
    <n v="112688"/>
    <n v="288"/>
    <n v="905"/>
    <n v="5555"/>
    <n v="453"/>
    <n v="0"/>
    <n v="8127"/>
    <m/>
    <m/>
    <m/>
    <m/>
    <n v="16888"/>
    <n v="16332"/>
    <n v="15478"/>
    <n v="15461"/>
    <n v="654"/>
    <n v="340"/>
    <n v="756"/>
    <m/>
    <m/>
    <n v="531"/>
    <m/>
    <m/>
    <m/>
    <m/>
  </r>
  <r>
    <x v="7"/>
    <s v="Coppin State University"/>
    <s v="Met the criteria for Four-Year 5 in 2010-11."/>
    <n v="162283"/>
    <x v="3"/>
    <n v="86915"/>
    <n v="93467"/>
    <n v="79181"/>
    <n v="85096"/>
    <n v="45"/>
    <n v="0"/>
    <n v="7689"/>
    <m/>
    <m/>
    <n v="8371"/>
    <m/>
    <m/>
    <m/>
    <m/>
    <n v="8880"/>
    <n v="7544"/>
    <n v="5673"/>
    <n v="5601"/>
    <n v="2567"/>
    <n v="1035"/>
    <n v="640"/>
    <m/>
    <m/>
    <n v="908"/>
    <m/>
    <m/>
    <m/>
    <m/>
  </r>
  <r>
    <x v="7"/>
    <s v="Frostburg State University "/>
    <m/>
    <n v="162584"/>
    <x v="3"/>
    <n v="132959"/>
    <n v="137084"/>
    <n v="119838"/>
    <n v="122380"/>
    <n v="2126"/>
    <n v="1978"/>
    <n v="10791"/>
    <n v="204"/>
    <m/>
    <n v="12660"/>
    <n v="66"/>
    <m/>
    <m/>
    <m/>
    <n v="10600"/>
    <n v="11123"/>
    <n v="4739"/>
    <n v="4607"/>
    <n v="2614"/>
    <n v="2741"/>
    <n v="2995"/>
    <n v="252"/>
    <m/>
    <n v="3646"/>
    <n v="129"/>
    <m/>
    <m/>
    <m/>
  </r>
  <r>
    <x v="7"/>
    <s v="Salisbury University "/>
    <m/>
    <n v="163851"/>
    <x v="3"/>
    <n v="221268"/>
    <n v="226113"/>
    <n v="207647"/>
    <n v="209991"/>
    <n v="1705"/>
    <n v="1472"/>
    <n v="11138"/>
    <n v="778"/>
    <m/>
    <n v="13671"/>
    <n v="979"/>
    <m/>
    <m/>
    <m/>
    <n v="10102"/>
    <n v="9829"/>
    <n v="7641"/>
    <n v="6259"/>
    <n v="333"/>
    <n v="174"/>
    <n v="989"/>
    <n v="1139"/>
    <m/>
    <n v="2091"/>
    <n v="1305"/>
    <m/>
    <m/>
    <m/>
  </r>
  <r>
    <x v="7"/>
    <s v="University of Baltimore"/>
    <m/>
    <n v="161873"/>
    <x v="3"/>
    <n v="62168"/>
    <n v="69333"/>
    <n v="49310"/>
    <n v="55373"/>
    <n v="957"/>
    <n v="1359"/>
    <n v="11901"/>
    <m/>
    <m/>
    <n v="12601"/>
    <m/>
    <m/>
    <m/>
    <m/>
    <n v="58317"/>
    <n v="137530"/>
    <n v="46660"/>
    <n v="46305"/>
    <n v="3413"/>
    <n v="2255"/>
    <n v="8244"/>
    <m/>
    <m/>
    <n v="88970"/>
    <m/>
    <m/>
    <m/>
    <m/>
  </r>
  <r>
    <x v="7"/>
    <s v="University of Maryland Eastern Shore "/>
    <m/>
    <n v="163338"/>
    <x v="3"/>
    <n v="112051"/>
    <n v="117477"/>
    <n v="106313"/>
    <n v="111235"/>
    <n v="2046"/>
    <n v="2276"/>
    <n v="3692"/>
    <m/>
    <m/>
    <n v="3966"/>
    <m/>
    <m/>
    <m/>
    <m/>
    <n v="7677"/>
    <n v="9092"/>
    <n v="7379"/>
    <n v="8756"/>
    <n v="175"/>
    <n v="192"/>
    <n v="123"/>
    <m/>
    <m/>
    <n v="144"/>
    <m/>
    <m/>
    <m/>
    <m/>
  </r>
  <r>
    <x v="7"/>
    <s v="Saint Mary's College of Maryland"/>
    <s v="Met the criteria for Four-Year 5 in 2010-11."/>
    <n v="163912"/>
    <x v="5"/>
    <n v="61956"/>
    <n v="62834.5"/>
    <n v="61956"/>
    <n v="62834.5"/>
    <m/>
    <n v="0"/>
    <m/>
    <m/>
    <m/>
    <m/>
    <m/>
    <m/>
    <m/>
    <m/>
    <n v="1900"/>
    <n v="1937"/>
    <n v="1900"/>
    <n v="1937"/>
    <m/>
    <m/>
    <m/>
    <m/>
    <m/>
    <m/>
    <m/>
    <m/>
    <m/>
    <m/>
  </r>
  <r>
    <x v="7"/>
    <s v="Anne Arundel Community College "/>
    <m/>
    <n v="161767"/>
    <x v="6"/>
    <n v="303331"/>
    <n v="329974.5"/>
    <n v="237469"/>
    <n v="251912.5"/>
    <n v="5079"/>
    <n v="4804"/>
    <n v="59508"/>
    <n v="324"/>
    <n v="951"/>
    <n v="72439"/>
    <n v="297"/>
    <n v="522"/>
    <m/>
    <m/>
    <n v="0"/>
    <n v="0"/>
    <m/>
    <m/>
    <m/>
    <m/>
    <m/>
    <m/>
    <m/>
    <m/>
    <m/>
    <m/>
    <m/>
    <m/>
  </r>
  <r>
    <x v="7"/>
    <s v="Community College of Baltimore County (all campuses)"/>
    <m/>
    <n v="434672"/>
    <x v="6"/>
    <n v="420006"/>
    <n v="477384"/>
    <n v="339948"/>
    <n v="389931.5"/>
    <n v="34410"/>
    <n v="34196"/>
    <n v="45270"/>
    <n v="378"/>
    <m/>
    <n v="52725.5"/>
    <n v="531"/>
    <m/>
    <m/>
    <m/>
    <n v="0"/>
    <n v="0"/>
    <m/>
    <m/>
    <m/>
    <m/>
    <m/>
    <m/>
    <m/>
    <m/>
    <m/>
    <m/>
    <m/>
    <m/>
  </r>
  <r>
    <x v="7"/>
    <s v="Montgomery College (all campuses)"/>
    <m/>
    <n v="163426"/>
    <x v="6"/>
    <n v="634842"/>
    <n v="561477.19999999995"/>
    <n v="518683"/>
    <n v="506365"/>
    <n v="76223"/>
    <n v="23862.2"/>
    <n v="39936"/>
    <m/>
    <m/>
    <n v="31250"/>
    <m/>
    <m/>
    <m/>
    <m/>
    <n v="0"/>
    <n v="0"/>
    <m/>
    <m/>
    <m/>
    <m/>
    <m/>
    <m/>
    <m/>
    <m/>
    <m/>
    <m/>
    <m/>
    <m/>
  </r>
  <r>
    <x v="7"/>
    <s v="Prince George's Community College "/>
    <m/>
    <n v="163657"/>
    <x v="6"/>
    <n v="237561"/>
    <n v="388272"/>
    <n v="173689"/>
    <n v="228085"/>
    <n v="30870"/>
    <n v="121383"/>
    <n v="33002"/>
    <m/>
    <m/>
    <n v="38804"/>
    <m/>
    <m/>
    <m/>
    <m/>
    <n v="0"/>
    <n v="0"/>
    <m/>
    <m/>
    <m/>
    <m/>
    <m/>
    <m/>
    <m/>
    <m/>
    <m/>
    <m/>
    <m/>
    <m/>
  </r>
  <r>
    <x v="7"/>
    <s v="Allegany College of Maryland"/>
    <m/>
    <n v="161688"/>
    <x v="7"/>
    <n v="78413"/>
    <n v="75761"/>
    <n v="52502"/>
    <n v="55090"/>
    <n v="16566"/>
    <n v="15078"/>
    <n v="7269"/>
    <n v="1851"/>
    <n v="225"/>
    <n v="3523"/>
    <n v="2070"/>
    <m/>
    <m/>
    <m/>
    <n v="0"/>
    <n v="0"/>
    <m/>
    <m/>
    <m/>
    <m/>
    <m/>
    <m/>
    <m/>
    <m/>
    <m/>
    <m/>
    <m/>
    <m/>
  </r>
  <r>
    <x v="7"/>
    <s v="Baltimore City Community College"/>
    <m/>
    <n v="161864"/>
    <x v="7"/>
    <n v="141341"/>
    <n v="147566"/>
    <n v="114280"/>
    <n v="117477"/>
    <n v="3253"/>
    <n v="4072"/>
    <n v="23808"/>
    <m/>
    <m/>
    <n v="26017"/>
    <m/>
    <m/>
    <m/>
    <m/>
    <n v="0"/>
    <n v="0"/>
    <m/>
    <m/>
    <m/>
    <m/>
    <m/>
    <m/>
    <m/>
    <m/>
    <m/>
    <m/>
    <m/>
    <m/>
  </r>
  <r>
    <x v="7"/>
    <s v="College of Southern Maryland"/>
    <s v="Met the criteria for Two-Year 1 in 2009-10 and 2010-11."/>
    <n v="162122"/>
    <x v="7"/>
    <n v="157309"/>
    <n v="164066"/>
    <n v="114172"/>
    <n v="112750"/>
    <n v="3244"/>
    <n v="3789"/>
    <n v="37304"/>
    <n v="794"/>
    <n v="1795"/>
    <n v="45293"/>
    <n v="1342"/>
    <n v="892"/>
    <m/>
    <m/>
    <n v="0"/>
    <n v="0"/>
    <m/>
    <m/>
    <m/>
    <m/>
    <m/>
    <m/>
    <m/>
    <m/>
    <m/>
    <m/>
    <m/>
    <m/>
  </r>
  <r>
    <x v="7"/>
    <s v="Frederick Community College "/>
    <m/>
    <n v="162557"/>
    <x v="7"/>
    <n v="74785"/>
    <n v="122265"/>
    <n v="55337"/>
    <n v="104884"/>
    <n v="5020"/>
    <n v="2237"/>
    <n v="14428"/>
    <m/>
    <m/>
    <n v="15144"/>
    <m/>
    <m/>
    <m/>
    <m/>
    <n v="0"/>
    <n v="0"/>
    <m/>
    <m/>
    <m/>
    <m/>
    <m/>
    <m/>
    <m/>
    <m/>
    <m/>
    <m/>
    <m/>
    <m/>
  </r>
  <r>
    <x v="7"/>
    <s v="Hagerstown Community College "/>
    <m/>
    <n v="162690"/>
    <x v="7"/>
    <n v="86223"/>
    <n v="92895"/>
    <n v="68995"/>
    <n v="74662"/>
    <n v="7018"/>
    <n v="5942"/>
    <n v="9817"/>
    <n v="0"/>
    <n v="252"/>
    <n v="12039"/>
    <m/>
    <n v="147"/>
    <n v="141"/>
    <n v="105"/>
    <n v="0"/>
    <n v="0"/>
    <m/>
    <m/>
    <m/>
    <m/>
    <m/>
    <m/>
    <m/>
    <m/>
    <m/>
    <m/>
    <m/>
    <m/>
  </r>
  <r>
    <x v="7"/>
    <s v="Harford Community College "/>
    <m/>
    <n v="162706"/>
    <x v="7"/>
    <n v="123442"/>
    <n v="133500.5"/>
    <n v="104332.5"/>
    <n v="106584"/>
    <n v="1424"/>
    <n v="1777"/>
    <n v="17685.5"/>
    <m/>
    <m/>
    <n v="25139.5"/>
    <m/>
    <m/>
    <m/>
    <m/>
    <n v="0"/>
    <n v="0"/>
    <m/>
    <m/>
    <m/>
    <m/>
    <m/>
    <m/>
    <m/>
    <m/>
    <m/>
    <m/>
    <m/>
    <m/>
  </r>
  <r>
    <x v="7"/>
    <s v="Howard Community College "/>
    <s v="Met the criteria for Two-Year 1 in 2009-10 and 2010-11."/>
    <n v="162779"/>
    <x v="7"/>
    <n v="159884"/>
    <n v="177846"/>
    <n v="142555"/>
    <n v="156256"/>
    <n v="5362"/>
    <n v="7255"/>
    <n v="11403"/>
    <n v="66"/>
    <n v="498"/>
    <n v="13747"/>
    <n v="9"/>
    <n v="579"/>
    <m/>
    <m/>
    <n v="0"/>
    <n v="0"/>
    <m/>
    <m/>
    <m/>
    <m/>
    <m/>
    <m/>
    <m/>
    <m/>
    <m/>
    <m/>
    <m/>
    <m/>
  </r>
  <r>
    <x v="7"/>
    <s v="Carroll Community College"/>
    <s v="Reclassified: Met the criteria for Two-Year 2 in 2008-09, 2009-10 and 2010-11."/>
    <n v="405872"/>
    <x v="7"/>
    <n v="64893"/>
    <n v="79864"/>
    <n v="57634"/>
    <n v="71008"/>
    <n v="0"/>
    <n v="0"/>
    <n v="7160"/>
    <n v="99"/>
    <m/>
    <n v="8727"/>
    <n v="129"/>
    <m/>
    <n v="0"/>
    <m/>
    <n v="0"/>
    <n v="0"/>
    <m/>
    <m/>
    <m/>
    <m/>
    <m/>
    <m/>
    <m/>
    <m/>
    <m/>
    <m/>
    <m/>
    <m/>
  </r>
  <r>
    <x v="7"/>
    <s v="Cecil Community College "/>
    <m/>
    <n v="162104"/>
    <x v="8"/>
    <n v="45023.5"/>
    <n v="48917.5"/>
    <n v="38768.5"/>
    <n v="40188.5"/>
    <n v="1191"/>
    <n v="1130"/>
    <n v="5064"/>
    <m/>
    <m/>
    <n v="7599"/>
    <m/>
    <m/>
    <m/>
    <m/>
    <n v="0"/>
    <n v="0"/>
    <m/>
    <m/>
    <m/>
    <m/>
    <m/>
    <m/>
    <m/>
    <m/>
    <m/>
    <m/>
    <m/>
    <m/>
  </r>
  <r>
    <x v="7"/>
    <s v="Chesapeake College "/>
    <m/>
    <n v="162168"/>
    <x v="8"/>
    <n v="50464"/>
    <n v="54337"/>
    <n v="35423"/>
    <n v="37715"/>
    <n v="8221"/>
    <n v="9220"/>
    <n v="5878"/>
    <n v="942"/>
    <m/>
    <n v="6329"/>
    <n v="1043"/>
    <m/>
    <m/>
    <n v="30"/>
    <n v="0"/>
    <n v="0"/>
    <m/>
    <m/>
    <m/>
    <m/>
    <m/>
    <m/>
    <m/>
    <m/>
    <m/>
    <m/>
    <m/>
    <m/>
  </r>
  <r>
    <x v="7"/>
    <s v="Garrett College "/>
    <m/>
    <n v="162609"/>
    <x v="8"/>
    <n v="19093.55"/>
    <n v="20422.75"/>
    <n v="16163.55"/>
    <n v="16790.75"/>
    <n v="1308"/>
    <n v="1276"/>
    <n v="1339"/>
    <n v="283"/>
    <m/>
    <n v="2125"/>
    <n v="231"/>
    <m/>
    <m/>
    <m/>
    <n v="0"/>
    <n v="0"/>
    <m/>
    <m/>
    <m/>
    <m/>
    <m/>
    <m/>
    <m/>
    <m/>
    <m/>
    <m/>
    <m/>
    <m/>
  </r>
  <r>
    <x v="7"/>
    <s v="Wor-Wic Community College "/>
    <s v="Reclassified: Met the criteria for Two-Year 2 in 2008-09, 2009-10 and 2010-11."/>
    <n v="164313"/>
    <x v="7"/>
    <n v="73693"/>
    <n v="77350"/>
    <n v="64007"/>
    <n v="67409"/>
    <n v="1294"/>
    <n v="1211"/>
    <n v="8362"/>
    <n v="30"/>
    <n v="0"/>
    <n v="8658"/>
    <n v="72"/>
    <m/>
    <m/>
    <m/>
    <n v="0"/>
    <n v="0"/>
    <m/>
    <m/>
    <m/>
    <m/>
    <m/>
    <m/>
    <m/>
    <m/>
    <m/>
    <m/>
    <m/>
    <m/>
  </r>
  <r>
    <x v="7"/>
    <s v="University of Maryland University College"/>
    <m/>
    <n v="163204"/>
    <x v="13"/>
    <n v="384318"/>
    <n v="422643"/>
    <n v="0"/>
    <n v="0"/>
    <n v="55546"/>
    <n v="57209"/>
    <n v="328772"/>
    <m/>
    <m/>
    <n v="365434"/>
    <m/>
    <m/>
    <m/>
    <m/>
    <n v="159416"/>
    <n v="173875"/>
    <n v="0"/>
    <m/>
    <n v="5001"/>
    <m/>
    <n v="154415"/>
    <m/>
    <m/>
    <n v="173875"/>
    <m/>
    <m/>
    <m/>
    <m/>
  </r>
  <r>
    <x v="8"/>
    <s v="Mississippi State University"/>
    <m/>
    <n v="176080"/>
    <x v="0"/>
    <n v="398852"/>
    <n v="418441"/>
    <n v="367041"/>
    <n v="384596"/>
    <n v="12877"/>
    <n v="11858"/>
    <n v="16125"/>
    <n v="324"/>
    <n v="496"/>
    <n v="21750"/>
    <n v="159"/>
    <n v="78"/>
    <n v="1989"/>
    <m/>
    <n v="60525"/>
    <n v="64561"/>
    <n v="45166"/>
    <n v="48053"/>
    <n v="3303"/>
    <n v="2945"/>
    <n v="11717"/>
    <n v="315"/>
    <n v="18"/>
    <n v="13172"/>
    <n v="388"/>
    <n v="3"/>
    <n v="6"/>
    <m/>
  </r>
  <r>
    <x v="8"/>
    <s v="University of Southern Mississippi"/>
    <m/>
    <n v="176372"/>
    <x v="0"/>
    <n v="341859"/>
    <n v="342644"/>
    <n v="273586"/>
    <n v="271156"/>
    <n v="37588"/>
    <n v="37295"/>
    <n v="28235"/>
    <n v="416"/>
    <n v="2034"/>
    <n v="31314"/>
    <n v="317"/>
    <n v="2562"/>
    <m/>
    <m/>
    <n v="61276"/>
    <n v="59544"/>
    <n v="41915"/>
    <n v="37332"/>
    <n v="7134"/>
    <n v="5629"/>
    <n v="11914"/>
    <n v="310"/>
    <n v="3"/>
    <n v="16379"/>
    <n v="201"/>
    <n v="3"/>
    <m/>
    <m/>
  </r>
  <r>
    <x v="8"/>
    <s v="Jackson State University "/>
    <m/>
    <n v="175856"/>
    <x v="1"/>
    <n v="151394"/>
    <n v="162509.5"/>
    <n v="141291"/>
    <n v="147783.5"/>
    <n v="5751"/>
    <n v="11221"/>
    <n v="4352"/>
    <m/>
    <m/>
    <n v="3505"/>
    <m/>
    <m/>
    <m/>
    <m/>
    <n v="27498"/>
    <n v="30916.5"/>
    <n v="19342"/>
    <n v="20721.5"/>
    <n v="6577"/>
    <n v="9569"/>
    <n v="1579"/>
    <m/>
    <m/>
    <n v="626"/>
    <m/>
    <m/>
    <m/>
    <m/>
  </r>
  <r>
    <x v="8"/>
    <s v="University of Mississippi"/>
    <m/>
    <n v="176017"/>
    <x v="1"/>
    <n v="382246"/>
    <n v="414725"/>
    <n v="342784"/>
    <n v="372564"/>
    <n v="22493"/>
    <n v="24938"/>
    <n v="7300"/>
    <n v="9666"/>
    <s v=" "/>
    <n v="8951"/>
    <n v="8266"/>
    <m/>
    <n v="3"/>
    <n v="6"/>
    <n v="56168"/>
    <n v="56846"/>
    <n v="50220"/>
    <n v="51344"/>
    <n v="3848"/>
    <n v="2643"/>
    <n v="1197"/>
    <n v="903"/>
    <m/>
    <n v="1812"/>
    <n v="1044"/>
    <m/>
    <m/>
    <n v="3"/>
  </r>
  <r>
    <x v="8"/>
    <s v="Alcorn State University"/>
    <m/>
    <n v="175342"/>
    <x v="3"/>
    <n v="77173"/>
    <n v="84461"/>
    <n v="69408"/>
    <n v="72596"/>
    <m/>
    <m/>
    <n v="7624"/>
    <m/>
    <n v="141"/>
    <n v="11651"/>
    <s v=" "/>
    <n v="192"/>
    <m/>
    <n v="22"/>
    <n v="10253"/>
    <n v="12210"/>
    <n v="6502"/>
    <n v="7084"/>
    <m/>
    <m/>
    <n v="3721"/>
    <m/>
    <n v="30"/>
    <n v="5087"/>
    <m/>
    <n v="39"/>
    <m/>
    <m/>
  </r>
  <r>
    <x v="8"/>
    <s v="Delta State University"/>
    <m/>
    <n v="175616"/>
    <x v="3"/>
    <n v="78580"/>
    <n v="77725"/>
    <n v="66961"/>
    <n v="62670.5"/>
    <n v="1782"/>
    <n v="2610"/>
    <n v="9837"/>
    <m/>
    <m/>
    <n v="12435.5"/>
    <m/>
    <m/>
    <m/>
    <n v="9"/>
    <n v="14059"/>
    <n v="19448"/>
    <n v="6809"/>
    <n v="10402"/>
    <n v="847"/>
    <n v="291"/>
    <n v="6343"/>
    <m/>
    <n v="60"/>
    <n v="8755"/>
    <m/>
    <m/>
    <m/>
    <m/>
  </r>
  <r>
    <x v="8"/>
    <s v="Mississippi Valley State University"/>
    <m/>
    <n v="176044"/>
    <x v="3"/>
    <n v="69930"/>
    <n v="66168"/>
    <n v="58749"/>
    <n v="57652"/>
    <n v="2652"/>
    <n v="2091"/>
    <n v="7362"/>
    <m/>
    <n v="321"/>
    <n v="5042"/>
    <m/>
    <n v="372"/>
    <n v="846"/>
    <n v="1011"/>
    <n v="6437"/>
    <n v="6652"/>
    <n v="4756"/>
    <n v="5006"/>
    <n v="753"/>
    <n v="408"/>
    <n v="754"/>
    <m/>
    <n v="174"/>
    <n v="1061"/>
    <m/>
    <n v="177"/>
    <m/>
    <m/>
  </r>
  <r>
    <x v="8"/>
    <s v="Mississippi University for Women"/>
    <m/>
    <n v="176035"/>
    <x v="4"/>
    <n v="57804"/>
    <n v="63024"/>
    <n v="45542"/>
    <n v="43855"/>
    <n v="648"/>
    <m/>
    <n v="11614"/>
    <m/>
    <m/>
    <n v="19169"/>
    <m/>
    <m/>
    <m/>
    <m/>
    <n v="4413"/>
    <n v="4501"/>
    <n v="3192"/>
    <n v="2986"/>
    <m/>
    <n v="276"/>
    <n v="1221"/>
    <m/>
    <m/>
    <n v="1239"/>
    <m/>
    <m/>
    <m/>
    <m/>
  </r>
  <r>
    <x v="8"/>
    <s v="Hinds Community College "/>
    <m/>
    <n v="175786"/>
    <x v="6"/>
    <n v="283185"/>
    <n v="340377"/>
    <n v="249278"/>
    <n v="291407"/>
    <m/>
    <m/>
    <n v="33907"/>
    <m/>
    <m/>
    <n v="48970"/>
    <m/>
    <m/>
    <m/>
    <m/>
    <n v="0"/>
    <n v="0"/>
    <m/>
    <m/>
    <m/>
    <m/>
    <m/>
    <m/>
    <m/>
    <m/>
    <m/>
    <m/>
    <m/>
    <m/>
  </r>
  <r>
    <x v="8"/>
    <s v="Mississippi Gulf Coast Community College "/>
    <m/>
    <n v="176071"/>
    <x v="6"/>
    <n v="236034"/>
    <n v="260228"/>
    <n v="201358"/>
    <n v="217283"/>
    <m/>
    <m/>
    <n v="34676"/>
    <m/>
    <m/>
    <n v="42945"/>
    <m/>
    <m/>
    <m/>
    <m/>
    <n v="0"/>
    <n v="0"/>
    <m/>
    <m/>
    <m/>
    <m/>
    <m/>
    <m/>
    <m/>
    <m/>
    <m/>
    <m/>
    <m/>
    <m/>
  </r>
  <r>
    <x v="8"/>
    <s v="Northwest Mississippi Community College "/>
    <m/>
    <n v="176178"/>
    <x v="6"/>
    <n v="193298"/>
    <n v="219847"/>
    <n v="165742"/>
    <n v="183910"/>
    <m/>
    <m/>
    <n v="27556"/>
    <m/>
    <m/>
    <n v="35937"/>
    <m/>
    <m/>
    <m/>
    <m/>
    <n v="0"/>
    <n v="0"/>
    <m/>
    <m/>
    <m/>
    <m/>
    <m/>
    <m/>
    <m/>
    <m/>
    <m/>
    <m/>
    <m/>
    <m/>
  </r>
  <r>
    <x v="8"/>
    <s v="Copiah-Lincoln Community College "/>
    <m/>
    <n v="175573"/>
    <x v="7"/>
    <n v="91106"/>
    <n v="105575"/>
    <n v="77445"/>
    <n v="85329"/>
    <m/>
    <m/>
    <n v="13661"/>
    <m/>
    <m/>
    <n v="20246"/>
    <m/>
    <m/>
    <m/>
    <m/>
    <n v="0"/>
    <n v="0"/>
    <m/>
    <m/>
    <m/>
    <m/>
    <m/>
    <m/>
    <m/>
    <m/>
    <m/>
    <m/>
    <m/>
    <m/>
  </r>
  <r>
    <x v="8"/>
    <s v="East Central Community College "/>
    <m/>
    <n v="175643"/>
    <x v="7"/>
    <n v="68156"/>
    <n v="72447"/>
    <n v="59498"/>
    <n v="60992"/>
    <m/>
    <m/>
    <n v="8658"/>
    <m/>
    <m/>
    <n v="11455"/>
    <m/>
    <m/>
    <m/>
    <m/>
    <n v="0"/>
    <n v="0"/>
    <m/>
    <m/>
    <m/>
    <m/>
    <m/>
    <m/>
    <m/>
    <m/>
    <m/>
    <m/>
    <m/>
    <m/>
  </r>
  <r>
    <x v="8"/>
    <s v="East Mississippi Community College "/>
    <m/>
    <n v="175652"/>
    <x v="7"/>
    <n v="118056"/>
    <n v="134386"/>
    <n v="88797"/>
    <n v="95985"/>
    <m/>
    <m/>
    <n v="29259"/>
    <m/>
    <m/>
    <n v="38401"/>
    <m/>
    <m/>
    <m/>
    <m/>
    <n v="0"/>
    <n v="0"/>
    <m/>
    <m/>
    <m/>
    <m/>
    <m/>
    <m/>
    <m/>
    <m/>
    <m/>
    <m/>
    <m/>
    <m/>
  </r>
  <r>
    <x v="8"/>
    <s v="Holmes Community College "/>
    <s v="Met the criteria for Two-Year 1 in 2010-11."/>
    <n v="175810"/>
    <x v="7"/>
    <n v="141860"/>
    <n v="161641"/>
    <n v="129895"/>
    <n v="141652"/>
    <m/>
    <m/>
    <n v="11965"/>
    <m/>
    <m/>
    <n v="19989"/>
    <m/>
    <m/>
    <m/>
    <m/>
    <n v="0"/>
    <n v="0"/>
    <m/>
    <m/>
    <m/>
    <m/>
    <m/>
    <m/>
    <m/>
    <m/>
    <m/>
    <m/>
    <m/>
    <m/>
  </r>
  <r>
    <x v="8"/>
    <s v="Itawamba Community College "/>
    <s v="Reclassified: Met criteria for Two-Year 1 2008-09, 2009-10 and 2010-11."/>
    <n v="175829"/>
    <x v="6"/>
    <n v="195807"/>
    <n v="226292"/>
    <n v="131280"/>
    <n v="138709"/>
    <m/>
    <m/>
    <n v="64527"/>
    <m/>
    <m/>
    <n v="87583"/>
    <m/>
    <m/>
    <m/>
    <m/>
    <n v="0"/>
    <n v="0"/>
    <m/>
    <m/>
    <m/>
    <m/>
    <m/>
    <m/>
    <m/>
    <m/>
    <m/>
    <m/>
    <m/>
    <m/>
  </r>
  <r>
    <x v="8"/>
    <s v="Jones County Junior College "/>
    <s v="Met the criteria for Two-Year 1 in 2010-11."/>
    <n v="175883"/>
    <x v="7"/>
    <n v="134233"/>
    <n v="151640"/>
    <n v="117478"/>
    <n v="125810"/>
    <m/>
    <m/>
    <n v="16755"/>
    <m/>
    <m/>
    <n v="25830"/>
    <m/>
    <m/>
    <m/>
    <m/>
    <n v="0"/>
    <n v="0"/>
    <m/>
    <m/>
    <m/>
    <m/>
    <m/>
    <m/>
    <m/>
    <m/>
    <m/>
    <m/>
    <m/>
    <m/>
  </r>
  <r>
    <x v="8"/>
    <s v="Meridian Community College "/>
    <m/>
    <n v="175935"/>
    <x v="7"/>
    <n v="93664"/>
    <n v="102621"/>
    <n v="83609"/>
    <n v="88973"/>
    <m/>
    <m/>
    <n v="10055"/>
    <m/>
    <m/>
    <n v="13648"/>
    <m/>
    <m/>
    <m/>
    <m/>
    <n v="0"/>
    <n v="0"/>
    <m/>
    <m/>
    <m/>
    <m/>
    <m/>
    <m/>
    <m/>
    <m/>
    <m/>
    <m/>
    <m/>
    <m/>
  </r>
  <r>
    <x v="8"/>
    <s v="Mississippi Delta Community College "/>
    <m/>
    <n v="176008"/>
    <x v="7"/>
    <n v="83275"/>
    <n v="95578"/>
    <n v="72965"/>
    <n v="80457"/>
    <m/>
    <m/>
    <n v="10310"/>
    <m/>
    <m/>
    <n v="15121"/>
    <m/>
    <m/>
    <m/>
    <m/>
    <n v="0"/>
    <n v="0"/>
    <m/>
    <m/>
    <m/>
    <m/>
    <m/>
    <m/>
    <m/>
    <m/>
    <m/>
    <m/>
    <m/>
    <m/>
  </r>
  <r>
    <x v="8"/>
    <s v="Northeast Mississippi Community College "/>
    <m/>
    <n v="176169"/>
    <x v="7"/>
    <n v="90748"/>
    <n v="98780"/>
    <n v="81749"/>
    <n v="86696"/>
    <m/>
    <m/>
    <n v="8999"/>
    <m/>
    <m/>
    <n v="12084"/>
    <m/>
    <m/>
    <m/>
    <m/>
    <n v="0"/>
    <n v="0"/>
    <m/>
    <m/>
    <m/>
    <m/>
    <m/>
    <m/>
    <m/>
    <m/>
    <m/>
    <m/>
    <m/>
    <m/>
  </r>
  <r>
    <x v="8"/>
    <s v="Pearl River Community College "/>
    <m/>
    <n v="176239"/>
    <x v="7"/>
    <n v="114553"/>
    <n v="129439"/>
    <n v="102908"/>
    <n v="113535"/>
    <m/>
    <m/>
    <n v="11645"/>
    <m/>
    <m/>
    <n v="15904"/>
    <m/>
    <m/>
    <m/>
    <m/>
    <n v="0"/>
    <n v="0"/>
    <m/>
    <m/>
    <m/>
    <m/>
    <m/>
    <m/>
    <m/>
    <m/>
    <m/>
    <m/>
    <m/>
    <m/>
  </r>
  <r>
    <x v="8"/>
    <s v="Coahoma Community College "/>
    <s v="Met the criteria for Two-Year 2 in 2010-11."/>
    <n v="175519"/>
    <x v="8"/>
    <n v="54854"/>
    <n v="63546"/>
    <n v="51108"/>
    <n v="59568"/>
    <m/>
    <m/>
    <n v="3746"/>
    <m/>
    <m/>
    <n v="3978"/>
    <m/>
    <m/>
    <m/>
    <m/>
    <n v="0"/>
    <n v="0"/>
    <m/>
    <m/>
    <m/>
    <m/>
    <m/>
    <m/>
    <m/>
    <m/>
    <m/>
    <m/>
    <m/>
    <m/>
  </r>
  <r>
    <x v="8"/>
    <s v="Southwest Mississippi Community College"/>
    <m/>
    <n v="176354"/>
    <x v="8"/>
    <n v="53226"/>
    <n v="56549"/>
    <n v="48131"/>
    <n v="48821"/>
    <m/>
    <m/>
    <n v="5095"/>
    <m/>
    <m/>
    <n v="7728"/>
    <m/>
    <m/>
    <m/>
    <m/>
    <n v="0"/>
    <n v="0"/>
    <m/>
    <m/>
    <m/>
    <m/>
    <m/>
    <m/>
    <m/>
    <m/>
    <m/>
    <m/>
    <m/>
    <m/>
  </r>
  <r>
    <x v="9"/>
    <s v="North Carolina State University "/>
    <m/>
    <n v="199193"/>
    <x v="0"/>
    <n v="717672"/>
    <n v="725990"/>
    <n v="654799"/>
    <n v="652424"/>
    <n v="3672"/>
    <n v="2684"/>
    <n v="49825"/>
    <s v="."/>
    <n v="9376"/>
    <n v="70435"/>
    <n v="0"/>
    <n v="447"/>
    <m/>
    <m/>
    <n v="124350"/>
    <n v="134169"/>
    <n v="105943"/>
    <n v="110680"/>
    <n v="5478"/>
    <n v="6029"/>
    <n v="12667"/>
    <n v="0"/>
    <n v="262"/>
    <n v="16980"/>
    <n v="0"/>
    <n v="480"/>
    <m/>
    <m/>
  </r>
  <r>
    <x v="9"/>
    <s v="University of North Carolina at Chapel Hill "/>
    <m/>
    <n v="199120"/>
    <x v="0"/>
    <n v="508040"/>
    <n v="508742"/>
    <n v="492488"/>
    <n v="493196"/>
    <n v="579"/>
    <n v="509"/>
    <n v="14956"/>
    <n v="17"/>
    <n v="0"/>
    <n v="15037"/>
    <n v="0"/>
    <n v="0"/>
    <m/>
    <m/>
    <n v="190801"/>
    <n v="194086"/>
    <n v="159915"/>
    <n v="163862"/>
    <n v="15610"/>
    <n v="15695"/>
    <n v="13626"/>
    <n v="1650"/>
    <m/>
    <n v="14092"/>
    <n v="437"/>
    <m/>
    <m/>
    <m/>
  </r>
  <r>
    <x v="9"/>
    <s v="University of North Carolina at Charlotte"/>
    <m/>
    <n v="199139"/>
    <x v="1"/>
    <n v="515155"/>
    <n v="550912"/>
    <n v="498030"/>
    <n v="530225"/>
    <n v="288"/>
    <n v="561"/>
    <n v="16837"/>
    <n v="0"/>
    <n v="0"/>
    <n v="20126"/>
    <n v="0"/>
    <n v="0"/>
    <m/>
    <m/>
    <n v="72645"/>
    <n v="74936"/>
    <n v="58874"/>
    <n v="61026"/>
    <n v="4544"/>
    <n v="3771"/>
    <n v="9215"/>
    <n v="12"/>
    <m/>
    <n v="10115"/>
    <n v="24"/>
    <m/>
    <m/>
    <m/>
  </r>
  <r>
    <x v="9"/>
    <s v="University of North Carolina at Greensboro"/>
    <s v="Met the criteria for Four-Year 1 in 2009-10 and 2010-11."/>
    <n v="199148"/>
    <x v="1"/>
    <n v="423138"/>
    <n v="414299"/>
    <n v="352269"/>
    <n v="350322"/>
    <n v="554"/>
    <n v="336"/>
    <n v="70184"/>
    <n v="131"/>
    <n v="0"/>
    <n v="63569"/>
    <n v="72"/>
    <n v="0"/>
    <m/>
    <m/>
    <n v="69415"/>
    <n v="70539"/>
    <n v="55812"/>
    <n v="55355"/>
    <n v="2314"/>
    <n v="2232"/>
    <n v="11097"/>
    <n v="192"/>
    <m/>
    <n v="12633"/>
    <n v="319"/>
    <m/>
    <m/>
    <m/>
  </r>
  <r>
    <x v="9"/>
    <s v="Appalachian State University "/>
    <m/>
    <n v="197869"/>
    <x v="2"/>
    <n v="442948"/>
    <n v="453030"/>
    <n v="429250"/>
    <n v="435465"/>
    <n v="10448"/>
    <n v="9418"/>
    <n v="3217"/>
    <n v="33"/>
    <n v="0"/>
    <n v="8147"/>
    <n v="0"/>
    <n v="0"/>
    <m/>
    <m/>
    <n v="38023"/>
    <n v="38084"/>
    <n v="21459"/>
    <n v="22203"/>
    <n v="13793"/>
    <n v="11882"/>
    <n v="2771"/>
    <n v="0"/>
    <m/>
    <n v="3999"/>
    <n v="0"/>
    <m/>
    <m/>
    <m/>
  </r>
  <r>
    <x v="9"/>
    <s v="East Carolina University "/>
    <s v="Met the criteria for Four-Year 2 in 2010-11."/>
    <n v="198464"/>
    <x v="2"/>
    <n v="583534"/>
    <n v="595157"/>
    <n v="500495"/>
    <n v="504109"/>
    <n v="9108"/>
    <n v="11952"/>
    <n v="73931"/>
    <n v="0"/>
    <n v="0"/>
    <n v="79096"/>
    <n v="0"/>
    <n v="0"/>
    <m/>
    <m/>
    <n v="104929"/>
    <n v="108620"/>
    <n v="51900"/>
    <n v="55748"/>
    <n v="6483"/>
    <n v="8351"/>
    <n v="46540"/>
    <n v="6"/>
    <m/>
    <n v="44521"/>
    <n v="0"/>
    <m/>
    <m/>
    <m/>
  </r>
  <r>
    <x v="9"/>
    <s v="North Carolina A&amp;T State University"/>
    <m/>
    <n v="199102"/>
    <x v="2"/>
    <n v="260799"/>
    <n v="270371"/>
    <n v="243888"/>
    <n v="248969"/>
    <n v="2557"/>
    <n v="2167"/>
    <n v="14354"/>
    <n v="0"/>
    <n v="0"/>
    <n v="19235"/>
    <n v="0"/>
    <n v="0"/>
    <m/>
    <m/>
    <n v="34478"/>
    <n v="33492"/>
    <n v="26542"/>
    <n v="24393"/>
    <n v="1458"/>
    <n v="1932"/>
    <n v="6478"/>
    <n v="0"/>
    <m/>
    <n v="7167"/>
    <n v="0"/>
    <m/>
    <m/>
    <m/>
  </r>
  <r>
    <x v="9"/>
    <s v="North Carolina Central University "/>
    <m/>
    <n v="199157"/>
    <x v="2"/>
    <n v="183197"/>
    <n v="192314"/>
    <n v="173375"/>
    <n v="179702"/>
    <n v="491"/>
    <n v="195"/>
    <n v="9331"/>
    <n v="0"/>
    <n v="0"/>
    <n v="12417"/>
    <n v="0"/>
    <n v="0"/>
    <m/>
    <m/>
    <n v="42311"/>
    <n v="43255"/>
    <n v="34925"/>
    <n v="34879"/>
    <n v="997"/>
    <n v="1433"/>
    <n v="6335"/>
    <n v="54"/>
    <m/>
    <n v="6943"/>
    <n v="0"/>
    <m/>
    <m/>
    <m/>
  </r>
  <r>
    <x v="9"/>
    <s v="University of North Carolina at Wilmington"/>
    <m/>
    <n v="199218"/>
    <x v="2"/>
    <n v="334636"/>
    <n v="343061"/>
    <n v="297323"/>
    <n v="311729"/>
    <n v="4859"/>
    <n v="4085"/>
    <n v="32454"/>
    <n v="0"/>
    <n v="0"/>
    <n v="27157"/>
    <n v="90"/>
    <n v="0"/>
    <m/>
    <m/>
    <n v="21463"/>
    <n v="21548"/>
    <n v="16676"/>
    <n v="17764"/>
    <n v="1023"/>
    <n v="441"/>
    <n v="3764"/>
    <n v="0"/>
    <m/>
    <n v="3157"/>
    <n v="186"/>
    <m/>
    <m/>
    <m/>
  </r>
  <r>
    <x v="9"/>
    <s v="Western Carolina University "/>
    <m/>
    <n v="200004"/>
    <x v="2"/>
    <n v="205371"/>
    <n v="210642"/>
    <n v="181847"/>
    <n v="187349"/>
    <n v="4968"/>
    <n v="4540"/>
    <n v="18463"/>
    <n v="93"/>
    <n v="0"/>
    <n v="18597"/>
    <n v="156"/>
    <n v="0"/>
    <m/>
    <m/>
    <n v="32753"/>
    <n v="33816"/>
    <n v="18092"/>
    <n v="18560"/>
    <n v="1267"/>
    <n v="860"/>
    <n v="13211"/>
    <n v="183"/>
    <m/>
    <n v="14066"/>
    <n v="330"/>
    <m/>
    <m/>
    <m/>
  </r>
  <r>
    <x v="9"/>
    <s v="Fayetteville State University "/>
    <s v="Met the criteria for Four-Year 3 in 2010-11."/>
    <n v="198543"/>
    <x v="3"/>
    <n v="155114"/>
    <n v="144829"/>
    <n v="131700"/>
    <n v="119447"/>
    <n v="6417"/>
    <n v="3310"/>
    <n v="16997"/>
    <n v="0"/>
    <n v="0"/>
    <n v="21922"/>
    <n v="150"/>
    <n v="0"/>
    <m/>
    <m/>
    <n v="9056"/>
    <n v="9471"/>
    <n v="6299"/>
    <n v="5492"/>
    <n v="1533"/>
    <n v="1681"/>
    <n v="1224"/>
    <n v="0"/>
    <m/>
    <n v="2298"/>
    <n v="0"/>
    <m/>
    <m/>
    <m/>
  </r>
  <r>
    <x v="9"/>
    <s v="University of North Carolina at Pembroke"/>
    <m/>
    <n v="199281"/>
    <x v="4"/>
    <n v="157555"/>
    <n v="169136"/>
    <n v="126531"/>
    <n v="131400"/>
    <n v="3804"/>
    <n v="4021"/>
    <n v="26935"/>
    <n v="285"/>
    <n v="0"/>
    <n v="33015"/>
    <n v="700"/>
    <n v="0"/>
    <m/>
    <m/>
    <n v="10864"/>
    <n v="11092"/>
    <n v="5005"/>
    <n v="4830"/>
    <n v="1310"/>
    <n v="859"/>
    <n v="4546"/>
    <n v="3"/>
    <m/>
    <n v="5349"/>
    <n v="54"/>
    <m/>
    <m/>
    <m/>
  </r>
  <r>
    <x v="9"/>
    <s v="Winston-Salem State University "/>
    <m/>
    <n v="199999"/>
    <x v="4"/>
    <n v="177169"/>
    <n v="173712"/>
    <n v="148912"/>
    <n v="140047"/>
    <n v="14240"/>
    <n v="15543"/>
    <n v="14017"/>
    <n v="0"/>
    <n v="0"/>
    <n v="18122"/>
    <n v="0"/>
    <n v="0"/>
    <m/>
    <m/>
    <n v="10195"/>
    <n v="10784"/>
    <n v="8564"/>
    <n v="9159"/>
    <n v="543"/>
    <n v="483"/>
    <n v="803"/>
    <n v="285"/>
    <m/>
    <n v="1058"/>
    <n v="84"/>
    <m/>
    <m/>
    <m/>
  </r>
  <r>
    <x v="9"/>
    <s v="Elizabeth City State University "/>
    <m/>
    <n v="198507"/>
    <x v="5"/>
    <n v="95987"/>
    <n v="100051"/>
    <n v="82421"/>
    <n v="83505"/>
    <n v="335"/>
    <n v="1500"/>
    <n v="13073"/>
    <n v="158"/>
    <n v="0"/>
    <n v="15046"/>
    <n v="0"/>
    <n v="0"/>
    <m/>
    <m/>
    <n v="951"/>
    <n v="1076"/>
    <n v="684"/>
    <n v="629"/>
    <n v="0"/>
    <n v="82"/>
    <n v="267"/>
    <n v="0"/>
    <m/>
    <n v="365"/>
    <n v="0"/>
    <m/>
    <m/>
    <m/>
  </r>
  <r>
    <x v="9"/>
    <s v="University of North Carolina at Asheville"/>
    <m/>
    <n v="199111"/>
    <x v="5"/>
    <n v="97950"/>
    <n v="102465"/>
    <n v="96282"/>
    <n v="100823"/>
    <n v="1668"/>
    <n v="1642"/>
    <n v="0"/>
    <n v="0"/>
    <n v="0"/>
    <n v="0"/>
    <n v="0"/>
    <n v="0"/>
    <m/>
    <m/>
    <n v="415"/>
    <n v="443"/>
    <n v="388"/>
    <n v="398"/>
    <n v="27"/>
    <n v="45"/>
    <n v="0"/>
    <n v="0"/>
    <m/>
    <n v="0"/>
    <n v="0"/>
    <m/>
    <m/>
    <m/>
  </r>
  <r>
    <x v="9"/>
    <s v="Asheville-Buncombe Technical Community College"/>
    <m/>
    <n v="197887"/>
    <x v="6"/>
    <n v="144633"/>
    <n v="159416"/>
    <n v="115653"/>
    <n v="124856"/>
    <n v="9825"/>
    <n v="10150"/>
    <n v="19155"/>
    <n v="0"/>
    <n v="0"/>
    <n v="24410"/>
    <n v="0"/>
    <n v="0"/>
    <m/>
    <m/>
    <n v="0"/>
    <n v="0"/>
    <m/>
    <m/>
    <m/>
    <m/>
    <m/>
    <m/>
    <m/>
    <m/>
    <m/>
    <m/>
    <m/>
    <m/>
  </r>
  <r>
    <x v="9"/>
    <s v="Cape Fear Community College"/>
    <m/>
    <n v="198154"/>
    <x v="6"/>
    <n v="186949"/>
    <n v="212549"/>
    <n v="156260"/>
    <n v="175771"/>
    <n v="5059"/>
    <n v="3277"/>
    <n v="25630"/>
    <n v="0"/>
    <n v="0"/>
    <n v="33501"/>
    <n v="0"/>
    <n v="0"/>
    <m/>
    <m/>
    <n v="0"/>
    <n v="0"/>
    <m/>
    <m/>
    <m/>
    <m/>
    <m/>
    <m/>
    <m/>
    <m/>
    <m/>
    <m/>
    <m/>
    <m/>
  </r>
  <r>
    <x v="9"/>
    <s v="Catawba Valley Community College"/>
    <s v="Reclassified, meets the criteria for Two-Year 2."/>
    <n v="198233"/>
    <x v="7"/>
    <n v="113143"/>
    <n v="125873"/>
    <n v="83678"/>
    <n v="92143"/>
    <n v="3389"/>
    <n v="4186"/>
    <n v="23040"/>
    <n v="1167"/>
    <n v="1869"/>
    <n v="28694"/>
    <n v="123"/>
    <n v="727"/>
    <m/>
    <m/>
    <n v="0"/>
    <n v="0"/>
    <m/>
    <m/>
    <m/>
    <m/>
    <m/>
    <m/>
    <m/>
    <m/>
    <m/>
    <m/>
    <m/>
    <m/>
  </r>
  <r>
    <x v="9"/>
    <s v="Central Carolina Commuity College"/>
    <s v="Reclassified, meets the criteria for Two-Year 2."/>
    <n v="198251"/>
    <x v="7"/>
    <n v="96596"/>
    <n v="104167"/>
    <n v="57973"/>
    <n v="65438"/>
    <n v="11983"/>
    <n v="10252"/>
    <n v="26640"/>
    <n v="0"/>
    <n v="0"/>
    <n v="27852"/>
    <n v="0"/>
    <n v="625"/>
    <m/>
    <m/>
    <n v="0"/>
    <n v="0"/>
    <m/>
    <m/>
    <m/>
    <m/>
    <m/>
    <m/>
    <m/>
    <m/>
    <m/>
    <m/>
    <m/>
    <m/>
  </r>
  <r>
    <x v="9"/>
    <s v="Central Piedmont Community College "/>
    <m/>
    <n v="198260"/>
    <x v="6"/>
    <n v="386740"/>
    <n v="409543"/>
    <n v="288525"/>
    <n v="302706"/>
    <n v="16442"/>
    <n v="15033"/>
    <n v="77374"/>
    <n v="0"/>
    <n v="4399"/>
    <n v="87274"/>
    <n v="0"/>
    <n v="4530"/>
    <m/>
    <m/>
    <n v="0"/>
    <n v="0"/>
    <m/>
    <m/>
    <m/>
    <m/>
    <m/>
    <m/>
    <m/>
    <m/>
    <m/>
    <m/>
    <m/>
    <m/>
  </r>
  <r>
    <x v="9"/>
    <s v="Durham Technical Community College"/>
    <s v="Reclassified, meets the criteria for Two-Year 2."/>
    <n v="198455"/>
    <x v="7"/>
    <n v="100615"/>
    <n v="105294"/>
    <n v="84577"/>
    <n v="88388"/>
    <n v="3104"/>
    <n v="3297"/>
    <n v="12934"/>
    <n v="0"/>
    <n v="0"/>
    <n v="13609"/>
    <n v="0"/>
    <n v="0"/>
    <m/>
    <m/>
    <n v="0"/>
    <n v="0"/>
    <m/>
    <m/>
    <m/>
    <m/>
    <m/>
    <m/>
    <m/>
    <m/>
    <m/>
    <m/>
    <m/>
    <m/>
  </r>
  <r>
    <x v="9"/>
    <s v="Fayetteville Technical Community College"/>
    <m/>
    <n v="198534"/>
    <x v="6"/>
    <n v="227849"/>
    <n v="242342"/>
    <n v="143218"/>
    <n v="151556"/>
    <n v="5519"/>
    <n v="5748"/>
    <n v="77846"/>
    <n v="1266"/>
    <n v="0"/>
    <n v="83874"/>
    <n v="1164"/>
    <n v="0"/>
    <m/>
    <m/>
    <n v="0"/>
    <n v="0"/>
    <m/>
    <m/>
    <m/>
    <m/>
    <m/>
    <m/>
    <m/>
    <m/>
    <m/>
    <m/>
    <m/>
    <m/>
  </r>
  <r>
    <x v="9"/>
    <s v="Forsyth Technical Community College"/>
    <m/>
    <n v="198552"/>
    <x v="6"/>
    <n v="181929"/>
    <n v="215071"/>
    <n v="128243"/>
    <n v="150541"/>
    <n v="10595"/>
    <n v="12413"/>
    <n v="42139"/>
    <n v="952"/>
    <n v="0"/>
    <n v="50600"/>
    <n v="1517"/>
    <n v="0"/>
    <m/>
    <m/>
    <n v="0"/>
    <n v="0"/>
    <m/>
    <m/>
    <m/>
    <m/>
    <m/>
    <m/>
    <m/>
    <m/>
    <m/>
    <m/>
    <m/>
    <m/>
  </r>
  <r>
    <x v="9"/>
    <s v="Guilford Technical Community College"/>
    <m/>
    <n v="198622"/>
    <x v="6"/>
    <n v="275849"/>
    <n v="333447"/>
    <n v="237955"/>
    <n v="282592"/>
    <n v="2769"/>
    <n v="2805"/>
    <n v="34684"/>
    <n v="0"/>
    <n v="441"/>
    <n v="48050"/>
    <n v="0"/>
    <n v="0"/>
    <m/>
    <m/>
    <n v="0"/>
    <n v="0"/>
    <m/>
    <m/>
    <m/>
    <m/>
    <m/>
    <m/>
    <m/>
    <m/>
    <m/>
    <m/>
    <m/>
    <m/>
  </r>
  <r>
    <x v="9"/>
    <s v="Pitt Community College"/>
    <m/>
    <n v="199333"/>
    <x v="6"/>
    <n v="163185"/>
    <n v="188059"/>
    <n v="122898"/>
    <n v="136184"/>
    <n v="9635"/>
    <n v="8983"/>
    <n v="30652"/>
    <n v="0"/>
    <n v="0"/>
    <n v="42892"/>
    <n v="0"/>
    <n v="0"/>
    <m/>
    <m/>
    <n v="0"/>
    <n v="0"/>
    <m/>
    <m/>
    <m/>
    <m/>
    <m/>
    <m/>
    <m/>
    <m/>
    <m/>
    <m/>
    <m/>
    <m/>
  </r>
  <r>
    <x v="9"/>
    <s v="Rowan-Cabarrus Community College"/>
    <m/>
    <n v="199494"/>
    <x v="6"/>
    <n v="146377"/>
    <n v="166263"/>
    <n v="119647"/>
    <n v="132266"/>
    <n v="800"/>
    <n v="3687"/>
    <n v="22402"/>
    <n v="1254"/>
    <n v="2274"/>
    <n v="27427"/>
    <n v="756"/>
    <n v="2127"/>
    <m/>
    <m/>
    <n v="0"/>
    <n v="0"/>
    <m/>
    <m/>
    <m/>
    <m/>
    <m/>
    <m/>
    <m/>
    <m/>
    <m/>
    <m/>
    <m/>
    <m/>
  </r>
  <r>
    <x v="9"/>
    <s v="Wake Technical Community College"/>
    <m/>
    <n v="199856"/>
    <x v="6"/>
    <n v="305765"/>
    <n v="348159"/>
    <n v="238349"/>
    <n v="269320"/>
    <n v="7733"/>
    <n v="6433"/>
    <n v="59683"/>
    <n v="0"/>
    <n v="0"/>
    <n v="72406"/>
    <n v="0"/>
    <n v="0"/>
    <m/>
    <m/>
    <n v="0"/>
    <n v="0"/>
    <m/>
    <m/>
    <m/>
    <m/>
    <m/>
    <m/>
    <m/>
    <m/>
    <m/>
    <m/>
    <m/>
    <m/>
  </r>
  <r>
    <x v="9"/>
    <s v="Alamance Community College"/>
    <m/>
    <n v="199786"/>
    <x v="7"/>
    <n v="106602"/>
    <n v="117494"/>
    <n v="90072"/>
    <n v="99284"/>
    <n v="5814"/>
    <n v="5672"/>
    <n v="10716"/>
    <n v="0"/>
    <n v="0"/>
    <n v="12538"/>
    <n v="0"/>
    <n v="0"/>
    <m/>
    <m/>
    <n v="0"/>
    <n v="0"/>
    <m/>
    <m/>
    <m/>
    <m/>
    <m/>
    <m/>
    <m/>
    <m/>
    <m/>
    <m/>
    <m/>
    <m/>
  </r>
  <r>
    <x v="9"/>
    <s v="Blue Ridge Community College"/>
    <s v="Reclassified, meets the criteria for Two-Year 3."/>
    <n v="198039"/>
    <x v="8"/>
    <n v="45794"/>
    <n v="50471"/>
    <n v="36987"/>
    <n v="39555"/>
    <n v="1155"/>
    <n v="1239"/>
    <n v="6665"/>
    <n v="539"/>
    <n v="448"/>
    <n v="7826"/>
    <n v="173"/>
    <n v="1678"/>
    <m/>
    <m/>
    <n v="0"/>
    <n v="0"/>
    <m/>
    <m/>
    <m/>
    <m/>
    <m/>
    <m/>
    <m/>
    <m/>
    <m/>
    <m/>
    <m/>
    <m/>
  </r>
  <r>
    <x v="9"/>
    <s v="Caldwell Community College &amp; Technical Institute"/>
    <m/>
    <n v="198118"/>
    <x v="7"/>
    <n v="96765"/>
    <n v="107584"/>
    <n v="74841"/>
    <n v="79669"/>
    <n v="7457"/>
    <n v="7532"/>
    <n v="11618"/>
    <n v="1924"/>
    <n v="925"/>
    <n v="16853"/>
    <n v="3205"/>
    <n v="325"/>
    <m/>
    <m/>
    <n v="0"/>
    <n v="0"/>
    <m/>
    <m/>
    <m/>
    <m/>
    <m/>
    <m/>
    <m/>
    <m/>
    <m/>
    <m/>
    <m/>
    <m/>
  </r>
  <r>
    <x v="9"/>
    <s v="Cleveland Community College"/>
    <m/>
    <n v="198321"/>
    <x v="7"/>
    <n v="82295"/>
    <n v="93159"/>
    <n v="52814"/>
    <n v="60360"/>
    <n v="11250"/>
    <n v="11099"/>
    <n v="17944"/>
    <n v="210"/>
    <n v="77"/>
    <n v="21445"/>
    <n v="225"/>
    <n v="30"/>
    <m/>
    <m/>
    <n v="0"/>
    <n v="0"/>
    <m/>
    <m/>
    <m/>
    <m/>
    <m/>
    <m/>
    <m/>
    <m/>
    <m/>
    <m/>
    <m/>
    <m/>
  </r>
  <r>
    <x v="9"/>
    <s v="Coastal Carolina Community College "/>
    <m/>
    <n v="198330"/>
    <x v="7"/>
    <n v="104079"/>
    <n v="115927"/>
    <n v="73372"/>
    <n v="80478"/>
    <n v="9515"/>
    <n v="10109"/>
    <n v="21192"/>
    <n v="0"/>
    <n v="0"/>
    <n v="25340"/>
    <n v="0"/>
    <n v="0"/>
    <m/>
    <m/>
    <n v="0"/>
    <n v="0"/>
    <m/>
    <m/>
    <m/>
    <m/>
    <m/>
    <m/>
    <m/>
    <m/>
    <m/>
    <m/>
    <m/>
    <m/>
  </r>
  <r>
    <x v="9"/>
    <s v="College of the Albemarle"/>
    <s v="Reclassified, meets the criteria for Two-Year 3."/>
    <n v="197814"/>
    <x v="8"/>
    <n v="51745"/>
    <n v="53862"/>
    <n v="31302"/>
    <n v="32302"/>
    <n v="5346"/>
    <n v="3647"/>
    <n v="14539"/>
    <n v="558"/>
    <n v="0"/>
    <n v="17862"/>
    <n v="51"/>
    <n v="0"/>
    <m/>
    <m/>
    <n v="0"/>
    <n v="0"/>
    <m/>
    <m/>
    <m/>
    <m/>
    <m/>
    <m/>
    <m/>
    <m/>
    <m/>
    <m/>
    <m/>
    <m/>
  </r>
  <r>
    <x v="9"/>
    <s v="Craven Community College "/>
    <m/>
    <n v="198367"/>
    <x v="7"/>
    <n v="68418"/>
    <n v="78830"/>
    <n v="44380"/>
    <n v="51547"/>
    <n v="749"/>
    <n v="704"/>
    <n v="22361"/>
    <n v="0"/>
    <n v="928"/>
    <n v="25751"/>
    <n v="0"/>
    <n v="828"/>
    <m/>
    <m/>
    <n v="0"/>
    <n v="0"/>
    <m/>
    <m/>
    <m/>
    <m/>
    <m/>
    <m/>
    <m/>
    <m/>
    <m/>
    <m/>
    <m/>
    <m/>
  </r>
  <r>
    <x v="9"/>
    <s v="Davidson County Community College "/>
    <m/>
    <n v="198376"/>
    <x v="7"/>
    <n v="85748"/>
    <n v="96011"/>
    <n v="63999"/>
    <n v="72398"/>
    <n v="180"/>
    <n v="22"/>
    <n v="19574"/>
    <n v="1760"/>
    <n v="235"/>
    <n v="22204"/>
    <n v="1387"/>
    <n v="0"/>
    <m/>
    <m/>
    <n v="0"/>
    <n v="0"/>
    <m/>
    <m/>
    <m/>
    <m/>
    <m/>
    <m/>
    <m/>
    <m/>
    <m/>
    <m/>
    <m/>
    <m/>
  </r>
  <r>
    <x v="9"/>
    <s v="Edgecombe Community College"/>
    <m/>
    <n v="198491"/>
    <x v="7"/>
    <n v="58811"/>
    <n v="75491"/>
    <n v="41838"/>
    <n v="52105"/>
    <n v="1796"/>
    <n v="1891"/>
    <n v="15066"/>
    <n v="111"/>
    <n v="0"/>
    <n v="21495"/>
    <n v="0"/>
    <n v="0"/>
    <m/>
    <m/>
    <n v="0"/>
    <n v="0"/>
    <m/>
    <m/>
    <m/>
    <m/>
    <m/>
    <m/>
    <m/>
    <m/>
    <m/>
    <m/>
    <m/>
    <m/>
  </r>
  <r>
    <x v="9"/>
    <s v="Gaston College "/>
    <s v="Reclassified, meets the criteria for Two-Year 1."/>
    <n v="198570"/>
    <x v="6"/>
    <n v="138540"/>
    <n v="151327"/>
    <n v="102119"/>
    <n v="110795"/>
    <n v="5877"/>
    <n v="5218"/>
    <n v="29548"/>
    <n v="996"/>
    <n v="0"/>
    <n v="34114"/>
    <n v="1200"/>
    <n v="0"/>
    <m/>
    <m/>
    <n v="0"/>
    <n v="0"/>
    <m/>
    <m/>
    <m/>
    <m/>
    <m/>
    <m/>
    <m/>
    <m/>
    <m/>
    <m/>
    <m/>
    <m/>
  </r>
  <r>
    <x v="9"/>
    <s v="Haywood Community College"/>
    <m/>
    <n v="198668"/>
    <x v="7"/>
    <n v="43972"/>
    <n v="49510"/>
    <n v="26259"/>
    <n v="29794"/>
    <n v="3675"/>
    <n v="2345"/>
    <n v="13750"/>
    <n v="288"/>
    <n v="0"/>
    <n v="17263"/>
    <n v="108"/>
    <n v="0"/>
    <m/>
    <m/>
    <n v="0"/>
    <n v="0"/>
    <m/>
    <m/>
    <m/>
    <m/>
    <m/>
    <m/>
    <m/>
    <m/>
    <m/>
    <m/>
    <m/>
    <m/>
  </r>
  <r>
    <x v="9"/>
    <s v="Isothermal Community College "/>
    <m/>
    <n v="198710"/>
    <x v="7"/>
    <n v="58184"/>
    <n v="66414"/>
    <n v="47588"/>
    <n v="50927"/>
    <n v="2746"/>
    <n v="3626"/>
    <n v="7850"/>
    <n v="0"/>
    <n v="0"/>
    <n v="11846"/>
    <n v="15"/>
    <n v="0"/>
    <m/>
    <m/>
    <n v="0"/>
    <n v="0"/>
    <m/>
    <m/>
    <m/>
    <m/>
    <m/>
    <m/>
    <m/>
    <m/>
    <m/>
    <m/>
    <m/>
    <m/>
  </r>
  <r>
    <x v="9"/>
    <s v="Johnston Community College"/>
    <m/>
    <n v="198774"/>
    <x v="7"/>
    <n v="95374"/>
    <n v="92041"/>
    <n v="57378"/>
    <n v="61527"/>
    <n v="17469"/>
    <n v="7635"/>
    <n v="20287"/>
    <n v="0"/>
    <n v="240"/>
    <n v="22423"/>
    <n v="186"/>
    <n v="270"/>
    <m/>
    <m/>
    <n v="0"/>
    <n v="0"/>
    <m/>
    <m/>
    <m/>
    <m/>
    <m/>
    <m/>
    <m/>
    <m/>
    <m/>
    <m/>
    <m/>
    <m/>
  </r>
  <r>
    <x v="9"/>
    <s v="Lenoir Community College "/>
    <m/>
    <n v="198817"/>
    <x v="7"/>
    <n v="72306"/>
    <n v="81761"/>
    <n v="44899"/>
    <n v="49592"/>
    <n v="4765"/>
    <n v="3223"/>
    <n v="22642"/>
    <n v="0"/>
    <n v="0"/>
    <n v="28946"/>
    <n v="0"/>
    <n v="0"/>
    <m/>
    <m/>
    <n v="0"/>
    <n v="0"/>
    <m/>
    <m/>
    <m/>
    <m/>
    <m/>
    <m/>
    <m/>
    <m/>
    <m/>
    <m/>
    <m/>
    <m/>
  </r>
  <r>
    <x v="9"/>
    <s v="Mayland Community College"/>
    <s v="Reclassified, meets the criteria for Two-Year 3."/>
    <n v="198914"/>
    <x v="8"/>
    <n v="30891"/>
    <n v="28835"/>
    <n v="17225"/>
    <n v="17890"/>
    <n v="10395"/>
    <n v="7548"/>
    <n v="3208"/>
    <n v="63"/>
    <n v="0"/>
    <n v="3234"/>
    <n v="163"/>
    <n v="0"/>
    <m/>
    <m/>
    <n v="0"/>
    <n v="0"/>
    <m/>
    <m/>
    <m/>
    <m/>
    <m/>
    <m/>
    <m/>
    <m/>
    <m/>
    <m/>
    <m/>
    <m/>
  </r>
  <r>
    <x v="9"/>
    <s v="Mitchell Community College "/>
    <m/>
    <n v="198987"/>
    <x v="7"/>
    <n v="65538"/>
    <n v="76056"/>
    <n v="55231"/>
    <n v="61231"/>
    <n v="2160"/>
    <n v="2971"/>
    <n v="8000"/>
    <n v="0"/>
    <n v="147"/>
    <n v="11854"/>
    <n v="0"/>
    <n v="0"/>
    <m/>
    <m/>
    <n v="0"/>
    <n v="0"/>
    <m/>
    <m/>
    <m/>
    <m/>
    <m/>
    <m/>
    <m/>
    <m/>
    <m/>
    <m/>
    <m/>
    <m/>
  </r>
  <r>
    <x v="9"/>
    <s v="Nash Community College"/>
    <m/>
    <n v="199087"/>
    <x v="7"/>
    <n v="58338"/>
    <n v="61946"/>
    <n v="47751"/>
    <n v="49717"/>
    <n v="2510"/>
    <n v="2690"/>
    <n v="8077"/>
    <n v="0"/>
    <n v="0"/>
    <n v="9302"/>
    <n v="237"/>
    <n v="0"/>
    <m/>
    <m/>
    <n v="0"/>
    <n v="0"/>
    <m/>
    <m/>
    <m/>
    <m/>
    <m/>
    <m/>
    <m/>
    <m/>
    <m/>
    <m/>
    <m/>
    <m/>
  </r>
  <r>
    <x v="9"/>
    <s v="Piedmont Community College"/>
    <s v="Reclassified, meets the criteria for Two-Year 3."/>
    <n v="199324"/>
    <x v="8"/>
    <n v="54201"/>
    <n v="55522"/>
    <n v="34595"/>
    <n v="35368"/>
    <n v="5207"/>
    <n v="4487"/>
    <n v="12091"/>
    <n v="2179"/>
    <n v="129"/>
    <n v="12729"/>
    <n v="2908"/>
    <n v="30"/>
    <m/>
    <m/>
    <n v="0"/>
    <n v="0"/>
    <m/>
    <m/>
    <m/>
    <m/>
    <m/>
    <m/>
    <m/>
    <m/>
    <m/>
    <m/>
    <m/>
    <m/>
  </r>
  <r>
    <x v="9"/>
    <s v="Randolph Community College"/>
    <m/>
    <n v="199421"/>
    <x v="7"/>
    <n v="55502"/>
    <n v="63901"/>
    <n v="38867"/>
    <n v="45587"/>
    <n v="2913"/>
    <n v="3474"/>
    <n v="11951"/>
    <n v="1771"/>
    <n v="0"/>
    <n v="12979"/>
    <n v="1475"/>
    <n v="386"/>
    <m/>
    <m/>
    <n v="0"/>
    <n v="0"/>
    <m/>
    <m/>
    <m/>
    <m/>
    <m/>
    <m/>
    <m/>
    <m/>
    <m/>
    <m/>
    <m/>
    <m/>
  </r>
  <r>
    <x v="9"/>
    <s v="Richmond Community College"/>
    <s v="Reclassified, meets the criteria for Two-Year 3."/>
    <n v="199449"/>
    <x v="8"/>
    <n v="34656"/>
    <n v="40043"/>
    <n v="29248"/>
    <n v="34416"/>
    <n v="629"/>
    <n v="527"/>
    <n v="4755"/>
    <n v="24"/>
    <n v="0"/>
    <n v="5049"/>
    <n v="51"/>
    <n v="0"/>
    <m/>
    <m/>
    <n v="0"/>
    <n v="0"/>
    <m/>
    <m/>
    <m/>
    <m/>
    <m/>
    <m/>
    <m/>
    <m/>
    <m/>
    <m/>
    <m/>
    <m/>
  </r>
  <r>
    <x v="9"/>
    <s v="Robeson Community College"/>
    <m/>
    <n v="199476"/>
    <x v="7"/>
    <n v="58825"/>
    <n v="62535"/>
    <n v="46438"/>
    <n v="49529"/>
    <n v="2756"/>
    <n v="2788"/>
    <n v="9559"/>
    <n v="72"/>
    <n v="0"/>
    <n v="10218"/>
    <n v="0"/>
    <n v="0"/>
    <m/>
    <m/>
    <n v="0"/>
    <n v="0"/>
    <m/>
    <m/>
    <m/>
    <m/>
    <m/>
    <m/>
    <m/>
    <m/>
    <m/>
    <m/>
    <m/>
    <m/>
  </r>
  <r>
    <x v="9"/>
    <s v="Rockingham Community College "/>
    <s v="Reclassified, meets the criteria for Two-Year 3."/>
    <n v="199485"/>
    <x v="8"/>
    <n v="49330"/>
    <n v="53407"/>
    <n v="45115"/>
    <n v="48837"/>
    <n v="48"/>
    <n v="0"/>
    <n v="3990"/>
    <n v="6"/>
    <n v="171"/>
    <n v="4441"/>
    <n v="60"/>
    <n v="69"/>
    <m/>
    <m/>
    <n v="0"/>
    <n v="0"/>
    <m/>
    <m/>
    <m/>
    <m/>
    <m/>
    <m/>
    <m/>
    <m/>
    <m/>
    <m/>
    <m/>
    <m/>
  </r>
  <r>
    <x v="9"/>
    <s v="Sandhills Community College "/>
    <m/>
    <n v="199634"/>
    <x v="7"/>
    <n v="84647"/>
    <n v="89719"/>
    <n v="66331"/>
    <n v="69781"/>
    <n v="2567"/>
    <n v="1517"/>
    <n v="15749"/>
    <n v="0"/>
    <n v="0"/>
    <n v="18421"/>
    <n v="0"/>
    <n v="0"/>
    <m/>
    <m/>
    <n v="0"/>
    <n v="0"/>
    <m/>
    <m/>
    <m/>
    <m/>
    <m/>
    <m/>
    <m/>
    <m/>
    <m/>
    <m/>
    <m/>
    <m/>
  </r>
  <r>
    <x v="9"/>
    <s v="South Piedmont Community College"/>
    <s v="Reclassified, meets the criteria for Two-Year 3."/>
    <n v="197850"/>
    <x v="8"/>
    <n v="47847"/>
    <n v="53273"/>
    <n v="25987"/>
    <n v="31275"/>
    <n v="3210"/>
    <n v="2967"/>
    <n v="17707"/>
    <n v="943"/>
    <n v="0"/>
    <n v="18532"/>
    <n v="499"/>
    <n v="0"/>
    <m/>
    <m/>
    <n v="0"/>
    <n v="0"/>
    <m/>
    <m/>
    <m/>
    <m/>
    <m/>
    <m/>
    <m/>
    <m/>
    <m/>
    <m/>
    <m/>
    <m/>
  </r>
  <r>
    <x v="9"/>
    <s v="Southeastern Community College "/>
    <s v="Reclassified, meets the criteria for Two-Year 3."/>
    <n v="199722"/>
    <x v="8"/>
    <n v="48848"/>
    <n v="49508"/>
    <n v="32355"/>
    <n v="31608"/>
    <n v="1924"/>
    <n v="720"/>
    <n v="14404"/>
    <n v="165"/>
    <n v="0"/>
    <n v="16788"/>
    <n v="392"/>
    <n v="0"/>
    <m/>
    <m/>
    <n v="0"/>
    <n v="0"/>
    <m/>
    <m/>
    <m/>
    <m/>
    <m/>
    <m/>
    <m/>
    <m/>
    <m/>
    <m/>
    <m/>
    <m/>
  </r>
  <r>
    <x v="9"/>
    <s v="Southwestern Community College "/>
    <s v="Reclassified, meets the criteria for Two-Year 3."/>
    <n v="199731"/>
    <x v="8"/>
    <n v="49656"/>
    <n v="55269"/>
    <n v="32996"/>
    <n v="35483"/>
    <n v="2986"/>
    <n v="3177"/>
    <n v="11584"/>
    <n v="2090"/>
    <n v="0"/>
    <n v="14435"/>
    <n v="2174"/>
    <n v="0"/>
    <m/>
    <m/>
    <n v="0"/>
    <n v="0"/>
    <m/>
    <m/>
    <m/>
    <m/>
    <m/>
    <m/>
    <m/>
    <m/>
    <m/>
    <m/>
    <m/>
    <m/>
  </r>
  <r>
    <x v="9"/>
    <s v="Stanly Community College"/>
    <m/>
    <n v="199740"/>
    <x v="7"/>
    <n v="63226"/>
    <n v="69443"/>
    <n v="28153"/>
    <n v="30382"/>
    <n v="4236"/>
    <n v="3903"/>
    <n v="28452"/>
    <n v="2385"/>
    <n v="0"/>
    <n v="32392"/>
    <n v="2766"/>
    <n v="0"/>
    <m/>
    <m/>
    <n v="0"/>
    <n v="0"/>
    <m/>
    <m/>
    <m/>
    <m/>
    <m/>
    <m/>
    <m/>
    <m/>
    <m/>
    <m/>
    <m/>
    <m/>
  </r>
  <r>
    <x v="9"/>
    <s v="Surry Community College "/>
    <m/>
    <n v="199768"/>
    <x v="7"/>
    <n v="74615"/>
    <n v="76882"/>
    <n v="57857"/>
    <n v="58143"/>
    <n v="92"/>
    <n v="150"/>
    <n v="15731"/>
    <n v="935"/>
    <n v="0"/>
    <n v="17523"/>
    <n v="1066"/>
    <n v="0"/>
    <m/>
    <m/>
    <n v="0"/>
    <n v="0"/>
    <m/>
    <m/>
    <m/>
    <m/>
    <m/>
    <m/>
    <m/>
    <m/>
    <m/>
    <m/>
    <m/>
    <m/>
  </r>
  <r>
    <x v="9"/>
    <s v="Vance-Granville Community College "/>
    <m/>
    <n v="199838"/>
    <x v="7"/>
    <n v="89866"/>
    <n v="87227"/>
    <n v="59055"/>
    <n v="59223"/>
    <n v="8900"/>
    <n v="6129"/>
    <n v="20685"/>
    <n v="1226"/>
    <n v="0"/>
    <n v="20533"/>
    <n v="1342"/>
    <n v="0"/>
    <m/>
    <m/>
    <n v="0"/>
    <n v="0"/>
    <m/>
    <m/>
    <m/>
    <m/>
    <m/>
    <m/>
    <m/>
    <m/>
    <m/>
    <m/>
    <m/>
    <m/>
  </r>
  <r>
    <x v="9"/>
    <s v="Wayne Community College"/>
    <m/>
    <n v="199892"/>
    <x v="7"/>
    <n v="76026"/>
    <n v="83747"/>
    <n v="52602"/>
    <n v="58184"/>
    <n v="4353"/>
    <n v="3936"/>
    <n v="18753"/>
    <n v="0"/>
    <n v="318"/>
    <n v="21492"/>
    <n v="0"/>
    <n v="135"/>
    <m/>
    <m/>
    <n v="0"/>
    <n v="0"/>
    <m/>
    <m/>
    <m/>
    <m/>
    <m/>
    <m/>
    <m/>
    <m/>
    <m/>
    <m/>
    <m/>
    <m/>
  </r>
  <r>
    <x v="9"/>
    <s v="Western Piedmont Community College "/>
    <m/>
    <n v="199908"/>
    <x v="7"/>
    <n v="76180"/>
    <n v="81492"/>
    <n v="55644"/>
    <n v="59509"/>
    <n v="4942"/>
    <n v="2812"/>
    <n v="15594"/>
    <n v="0"/>
    <n v="0"/>
    <n v="19171"/>
    <n v="0"/>
    <n v="0"/>
    <m/>
    <m/>
    <n v="0"/>
    <n v="0"/>
    <m/>
    <m/>
    <m/>
    <m/>
    <m/>
    <m/>
    <m/>
    <m/>
    <m/>
    <m/>
    <m/>
    <m/>
  </r>
  <r>
    <x v="9"/>
    <s v="Wilkes Community College "/>
    <m/>
    <n v="199926"/>
    <x v="7"/>
    <n v="63169"/>
    <n v="65818"/>
    <n v="51581"/>
    <n v="52622"/>
    <n v="997"/>
    <n v="644"/>
    <n v="7156"/>
    <n v="3435"/>
    <n v="0"/>
    <n v="8618"/>
    <n v="3934"/>
    <n v="0"/>
    <m/>
    <m/>
    <n v="0"/>
    <n v="0"/>
    <m/>
    <m/>
    <m/>
    <m/>
    <m/>
    <m/>
    <m/>
    <m/>
    <m/>
    <m/>
    <m/>
    <m/>
  </r>
  <r>
    <x v="9"/>
    <s v="Wilson Technical Community College"/>
    <s v="Reclassified, meets the criteria for Two-Year 3."/>
    <n v="199953"/>
    <x v="8"/>
    <n v="48240"/>
    <n v="51984"/>
    <n v="30506"/>
    <n v="33436"/>
    <n v="2924"/>
    <n v="1400"/>
    <n v="11214"/>
    <n v="0"/>
    <n v="3596"/>
    <n v="14148"/>
    <n v="0"/>
    <n v="3000"/>
    <m/>
    <m/>
    <n v="0"/>
    <n v="0"/>
    <m/>
    <m/>
    <m/>
    <m/>
    <m/>
    <m/>
    <m/>
    <m/>
    <m/>
    <m/>
    <m/>
    <m/>
  </r>
  <r>
    <x v="9"/>
    <s v="Beaufort County Community College "/>
    <m/>
    <n v="197966"/>
    <x v="8"/>
    <n v="37755"/>
    <n v="40002"/>
    <n v="27735"/>
    <n v="30884"/>
    <n v="2569"/>
    <n v="1987"/>
    <n v="6945"/>
    <n v="0"/>
    <n v="506"/>
    <n v="6788"/>
    <n v="0"/>
    <n v="343"/>
    <m/>
    <m/>
    <n v="0"/>
    <n v="0"/>
    <m/>
    <m/>
    <m/>
    <m/>
    <m/>
    <m/>
    <m/>
    <m/>
    <m/>
    <m/>
    <m/>
    <m/>
  </r>
  <r>
    <x v="9"/>
    <s v="Bladen Community College"/>
    <m/>
    <n v="198011"/>
    <x v="8"/>
    <n v="35922"/>
    <n v="42382"/>
    <n v="21856"/>
    <n v="24167"/>
    <n v="625"/>
    <n v="511"/>
    <n v="9297"/>
    <n v="1168"/>
    <n v="2976"/>
    <n v="12674"/>
    <n v="2495"/>
    <n v="2535"/>
    <m/>
    <m/>
    <n v="0"/>
    <n v="0"/>
    <m/>
    <m/>
    <m/>
    <m/>
    <m/>
    <m/>
    <m/>
    <m/>
    <m/>
    <m/>
    <m/>
    <m/>
  </r>
  <r>
    <x v="9"/>
    <s v="Brunswick Community College"/>
    <m/>
    <n v="198084"/>
    <x v="8"/>
    <n v="30703"/>
    <n v="30834"/>
    <n v="25853"/>
    <n v="24442"/>
    <n v="109"/>
    <n v="108"/>
    <n v="4502"/>
    <n v="239"/>
    <n v="0"/>
    <n v="6131"/>
    <n v="153"/>
    <n v="0"/>
    <m/>
    <m/>
    <n v="0"/>
    <n v="0"/>
    <m/>
    <m/>
    <m/>
    <m/>
    <m/>
    <m/>
    <m/>
    <m/>
    <m/>
    <m/>
    <m/>
    <m/>
  </r>
  <r>
    <x v="9"/>
    <s v="Carteret Community College"/>
    <m/>
    <n v="198206"/>
    <x v="8"/>
    <n v="37150"/>
    <n v="39825"/>
    <n v="25823"/>
    <n v="28394"/>
    <n v="1878"/>
    <n v="1273"/>
    <n v="9449"/>
    <n v="0"/>
    <n v="0"/>
    <n v="10158"/>
    <n v="0"/>
    <n v="0"/>
    <m/>
    <m/>
    <n v="0"/>
    <n v="0"/>
    <m/>
    <m/>
    <m/>
    <m/>
    <m/>
    <m/>
    <m/>
    <m/>
    <m/>
    <m/>
    <m/>
    <m/>
  </r>
  <r>
    <x v="9"/>
    <s v="Halifax Community College "/>
    <m/>
    <n v="198640"/>
    <x v="8"/>
    <n v="34210"/>
    <n v="40188"/>
    <n v="24839"/>
    <n v="28115"/>
    <n v="2925"/>
    <n v="3750"/>
    <n v="6170"/>
    <n v="276"/>
    <n v="0"/>
    <n v="7897"/>
    <n v="426"/>
    <n v="0"/>
    <m/>
    <m/>
    <n v="0"/>
    <n v="0"/>
    <m/>
    <m/>
    <m/>
    <m/>
    <m/>
    <m/>
    <m/>
    <m/>
    <m/>
    <m/>
    <m/>
    <m/>
  </r>
  <r>
    <x v="9"/>
    <s v="James Sprunt Community College"/>
    <m/>
    <n v="198729"/>
    <x v="8"/>
    <n v="30124"/>
    <n v="32854"/>
    <n v="22377"/>
    <n v="23526"/>
    <n v="2838"/>
    <n v="2277"/>
    <n v="4528"/>
    <n v="381"/>
    <n v="0"/>
    <n v="6502"/>
    <n v="549"/>
    <n v="0"/>
    <m/>
    <m/>
    <n v="0"/>
    <n v="0"/>
    <m/>
    <m/>
    <m/>
    <m/>
    <m/>
    <m/>
    <m/>
    <m/>
    <m/>
    <m/>
    <m/>
    <m/>
  </r>
  <r>
    <x v="9"/>
    <s v="Martin Community College "/>
    <m/>
    <n v="198905"/>
    <x v="8"/>
    <n v="14875"/>
    <n v="16268"/>
    <n v="10324"/>
    <n v="12016"/>
    <n v="716"/>
    <n v="725"/>
    <n v="3700"/>
    <n v="135"/>
    <n v="0"/>
    <n v="3395"/>
    <n v="132"/>
    <n v="0"/>
    <m/>
    <m/>
    <n v="0"/>
    <n v="0"/>
    <m/>
    <m/>
    <m/>
    <m/>
    <m/>
    <m/>
    <m/>
    <m/>
    <m/>
    <m/>
    <m/>
    <m/>
  </r>
  <r>
    <x v="9"/>
    <s v="McDowell Technical Community College"/>
    <m/>
    <n v="198923"/>
    <x v="8"/>
    <n v="34022"/>
    <n v="36927"/>
    <n v="29202"/>
    <n v="31461"/>
    <n v="2317"/>
    <n v="1841"/>
    <n v="2095"/>
    <n v="216"/>
    <n v="192"/>
    <n v="3262"/>
    <n v="105"/>
    <n v="258"/>
    <m/>
    <m/>
    <n v="0"/>
    <n v="0"/>
    <m/>
    <m/>
    <m/>
    <m/>
    <m/>
    <m/>
    <m/>
    <m/>
    <m/>
    <m/>
    <m/>
    <m/>
  </r>
  <r>
    <x v="9"/>
    <s v="Montgomery Community College"/>
    <m/>
    <n v="199023"/>
    <x v="8"/>
    <n v="19887"/>
    <n v="19795"/>
    <n v="12324"/>
    <n v="12895"/>
    <n v="2829"/>
    <n v="1514"/>
    <n v="4212"/>
    <n v="522"/>
    <n v="0"/>
    <n v="5053"/>
    <n v="333"/>
    <n v="0"/>
    <m/>
    <m/>
    <n v="0"/>
    <n v="0"/>
    <m/>
    <m/>
    <m/>
    <m/>
    <m/>
    <m/>
    <m/>
    <m/>
    <m/>
    <m/>
    <m/>
    <m/>
  </r>
  <r>
    <x v="9"/>
    <s v="Pamlico Community College"/>
    <m/>
    <n v="199263"/>
    <x v="8"/>
    <n v="10851"/>
    <n v="12703"/>
    <n v="5008"/>
    <n v="4921"/>
    <n v="3134"/>
    <n v="2957"/>
    <n v="2688"/>
    <n v="21"/>
    <n v="0"/>
    <n v="4780"/>
    <n v="33"/>
    <n v="12"/>
    <m/>
    <m/>
    <n v="0"/>
    <n v="0"/>
    <m/>
    <m/>
    <m/>
    <m/>
    <m/>
    <m/>
    <m/>
    <m/>
    <m/>
    <m/>
    <m/>
    <m/>
  </r>
  <r>
    <x v="9"/>
    <s v="Roanoke-Chowan Community College"/>
    <m/>
    <n v="199467"/>
    <x v="8"/>
    <n v="16351"/>
    <n v="17878"/>
    <n v="11579"/>
    <n v="12966"/>
    <n v="1612"/>
    <n v="1544"/>
    <n v="3106"/>
    <n v="54"/>
    <n v="0"/>
    <n v="3290"/>
    <n v="78"/>
    <n v="0"/>
    <m/>
    <m/>
    <n v="0"/>
    <n v="0"/>
    <m/>
    <m/>
    <m/>
    <m/>
    <m/>
    <m/>
    <m/>
    <m/>
    <m/>
    <m/>
    <m/>
    <m/>
  </r>
  <r>
    <x v="9"/>
    <s v="Sampson Community College"/>
    <m/>
    <n v="199625"/>
    <x v="8"/>
    <n v="31436"/>
    <n v="33561"/>
    <n v="26703"/>
    <n v="29268"/>
    <n v="1171"/>
    <n v="599"/>
    <n v="2737"/>
    <n v="825"/>
    <n v="0"/>
    <n v="3043"/>
    <n v="651"/>
    <n v="0"/>
    <m/>
    <m/>
    <n v="0"/>
    <n v="0"/>
    <m/>
    <m/>
    <m/>
    <m/>
    <m/>
    <m/>
    <m/>
    <m/>
    <m/>
    <m/>
    <m/>
    <m/>
  </r>
  <r>
    <x v="9"/>
    <s v="Tri-County Community College "/>
    <m/>
    <n v="199795"/>
    <x v="8"/>
    <n v="27573"/>
    <n v="29859"/>
    <n v="18354"/>
    <n v="18499"/>
    <n v="1220"/>
    <n v="1081"/>
    <n v="7410"/>
    <n v="589"/>
    <n v="0"/>
    <n v="9760"/>
    <n v="519"/>
    <n v="0"/>
    <m/>
    <m/>
    <n v="0"/>
    <n v="0"/>
    <m/>
    <m/>
    <m/>
    <m/>
    <m/>
    <m/>
    <m/>
    <m/>
    <m/>
    <m/>
    <m/>
    <m/>
  </r>
  <r>
    <x v="10"/>
    <s v="Oklahoma State University Main Campus"/>
    <m/>
    <n v="207388"/>
    <x v="0"/>
    <n v="491494"/>
    <n v="545364"/>
    <n v="468284"/>
    <n v="510262"/>
    <n v="6"/>
    <n v="2027"/>
    <n v="20914"/>
    <n v="0"/>
    <n v="1978"/>
    <n v="31771"/>
    <n v="3"/>
    <n v="222"/>
    <n v="312"/>
    <n v="1079"/>
    <n v="67975"/>
    <n v="75181"/>
    <n v="56151"/>
    <n v="60781"/>
    <n v="21"/>
    <n v="1095"/>
    <n v="9303"/>
    <n v="6"/>
    <n v="2212"/>
    <n v="11886"/>
    <n v="4"/>
    <n v="1093"/>
    <n v="282"/>
    <n v="322"/>
  </r>
  <r>
    <x v="10"/>
    <s v="University of Oklahoma Norman Campus"/>
    <m/>
    <n v="207500"/>
    <x v="0"/>
    <n v="541043"/>
    <n v="527383"/>
    <n v="503740"/>
    <n v="473507"/>
    <n v="905"/>
    <n v="2987"/>
    <n v="35377"/>
    <n v="258"/>
    <n v="243"/>
    <n v="50077"/>
    <n v="156"/>
    <n v="656"/>
    <n v="520"/>
    <m/>
    <n v="82617"/>
    <n v="92405"/>
    <n v="62384"/>
    <n v="68036"/>
    <n v="11864"/>
    <n v="12572"/>
    <n v="7418"/>
    <n v="951"/>
    <m/>
    <n v="10279"/>
    <n v="225"/>
    <n v="1276"/>
    <m/>
    <n v="17"/>
  </r>
  <r>
    <x v="10"/>
    <s v="Northeastern State University"/>
    <m/>
    <n v="207263"/>
    <x v="2"/>
    <n v="200335"/>
    <n v="209439"/>
    <n v="173989"/>
    <n v="179652"/>
    <n v="0"/>
    <m/>
    <n v="25639"/>
    <n v="707"/>
    <m/>
    <n v="28881"/>
    <n v="906"/>
    <m/>
    <m/>
    <m/>
    <n v="20039"/>
    <n v="20480"/>
    <n v="18797"/>
    <n v="18998"/>
    <n v="0"/>
    <m/>
    <n v="792"/>
    <n v="450"/>
    <m/>
    <n v="914"/>
    <n v="568"/>
    <m/>
    <m/>
    <m/>
  </r>
  <r>
    <x v="10"/>
    <s v="University of Central Oklahoma"/>
    <m/>
    <n v="206941"/>
    <x v="2"/>
    <n v="340874"/>
    <n v="361155"/>
    <n v="318949"/>
    <n v="342653"/>
    <n v="3513"/>
    <n v="1931"/>
    <n v="14412"/>
    <n v="423"/>
    <n v="3577"/>
    <n v="14554"/>
    <n v="219"/>
    <n v="1798"/>
    <m/>
    <m/>
    <n v="23841"/>
    <n v="27571"/>
    <n v="20218"/>
    <n v="23434"/>
    <n v="802"/>
    <n v="1942"/>
    <n v="1258"/>
    <n v="233"/>
    <n v="1330"/>
    <n v="1002"/>
    <n v="104"/>
    <n v="1089"/>
    <m/>
    <m/>
  </r>
  <r>
    <x v="10"/>
    <s v="Cameron University "/>
    <m/>
    <n v="206914"/>
    <x v="4"/>
    <n v="127416"/>
    <n v="138667"/>
    <n v="102960"/>
    <n v="110587"/>
    <n v="0"/>
    <n v="1603"/>
    <n v="13985"/>
    <n v="10471"/>
    <m/>
    <n v="17009"/>
    <n v="9468"/>
    <m/>
    <m/>
    <m/>
    <n v="6081"/>
    <n v="6920"/>
    <n v="2964"/>
    <n v="3224"/>
    <m/>
    <m/>
    <n v="2196"/>
    <n v="921"/>
    <m/>
    <n v="2406"/>
    <n v="1290"/>
    <m/>
    <m/>
    <m/>
  </r>
  <r>
    <x v="10"/>
    <s v="East Central University "/>
    <m/>
    <n v="207041"/>
    <x v="4"/>
    <n v="98917"/>
    <n v="106266"/>
    <n v="83908"/>
    <n v="89628"/>
    <n v="53"/>
    <n v="71"/>
    <n v="7126"/>
    <n v="2737"/>
    <n v="5093"/>
    <n v="7854"/>
    <n v="3563"/>
    <n v="5150"/>
    <m/>
    <m/>
    <n v="14754"/>
    <n v="15849"/>
    <n v="6452"/>
    <n v="5596"/>
    <n v="469"/>
    <n v="504"/>
    <n v="5674"/>
    <n v="1412"/>
    <n v="747"/>
    <n v="7742"/>
    <n v="1410"/>
    <n v="597"/>
    <m/>
    <m/>
  </r>
  <r>
    <x v="10"/>
    <s v="Langston University"/>
    <m/>
    <n v="207209"/>
    <x v="4"/>
    <n v="64795"/>
    <n v="62125"/>
    <n v="64795"/>
    <n v="61293"/>
    <n v="0"/>
    <m/>
    <m/>
    <m/>
    <m/>
    <n v="322"/>
    <n v="510"/>
    <m/>
    <m/>
    <m/>
    <n v="8996"/>
    <n v="8632"/>
    <n v="8996"/>
    <n v="7696"/>
    <n v="0"/>
    <m/>
    <m/>
    <m/>
    <m/>
    <n v="786"/>
    <n v="150"/>
    <m/>
    <m/>
    <m/>
  </r>
  <r>
    <x v="10"/>
    <s v="Northwestern Oklahoma State University "/>
    <m/>
    <n v="207306"/>
    <x v="4"/>
    <n v="51212"/>
    <n v="53520"/>
    <n v="37033"/>
    <n v="38882"/>
    <n v="102"/>
    <n v="162"/>
    <n v="4980"/>
    <n v="8788"/>
    <n v="309"/>
    <n v="4947"/>
    <n v="9124"/>
    <n v="405"/>
    <m/>
    <m/>
    <n v="2866"/>
    <n v="2648"/>
    <n v="1580"/>
    <n v="1443"/>
    <m/>
    <n v="5"/>
    <n v="349"/>
    <n v="937"/>
    <m/>
    <n v="204"/>
    <n v="996"/>
    <m/>
    <m/>
    <m/>
  </r>
  <r>
    <x v="10"/>
    <s v="Southeastern Oklahoma State University "/>
    <s v="Met the criteria for Four-Year 4 in 2010-11."/>
    <n v="207847"/>
    <x v="4"/>
    <n v="96131"/>
    <n v="99728"/>
    <n v="69062"/>
    <n v="71663"/>
    <n v="36"/>
    <n v="792"/>
    <n v="22579"/>
    <n v="4454"/>
    <m/>
    <n v="22514"/>
    <n v="1831"/>
    <n v="2928"/>
    <m/>
    <m/>
    <n v="6234"/>
    <n v="5841"/>
    <n v="3890"/>
    <n v="3549"/>
    <n v="45"/>
    <n v="219"/>
    <n v="1462"/>
    <n v="738"/>
    <n v="99"/>
    <n v="1452"/>
    <n v="285"/>
    <n v="336"/>
    <m/>
    <m/>
  </r>
  <r>
    <x v="10"/>
    <s v="Southwestern Oklahoma State University"/>
    <m/>
    <n v="207865"/>
    <x v="4"/>
    <n v="118141"/>
    <n v="124302"/>
    <n v="109577"/>
    <n v="112608"/>
    <n v="1153"/>
    <n v="1283"/>
    <n v="4198"/>
    <n v="2094"/>
    <n v="1119"/>
    <n v="7054"/>
    <n v="1788"/>
    <n v="1569"/>
    <m/>
    <m/>
    <n v="11958"/>
    <n v="13777"/>
    <n v="8158"/>
    <n v="8852"/>
    <m/>
    <m/>
    <n v="458"/>
    <n v="3339"/>
    <n v="3"/>
    <n v="1415"/>
    <n v="3510"/>
    <m/>
    <m/>
    <m/>
  </r>
  <r>
    <x v="10"/>
    <s v="Oklahoma Panhandle State University "/>
    <m/>
    <n v="207351"/>
    <x v="5"/>
    <n v="33589"/>
    <n v="37412"/>
    <n v="28405"/>
    <n v="31053"/>
    <m/>
    <m/>
    <n v="4977"/>
    <n v="207"/>
    <m/>
    <n v="6131"/>
    <n v="228"/>
    <m/>
    <m/>
    <m/>
    <n v="0"/>
    <n v="0"/>
    <m/>
    <m/>
    <m/>
    <m/>
    <m/>
    <m/>
    <m/>
    <m/>
    <m/>
    <m/>
    <m/>
    <m/>
  </r>
  <r>
    <x v="10"/>
    <s v="Rogers State University"/>
    <m/>
    <n v="207661"/>
    <x v="5"/>
    <n v="91805"/>
    <n v="100335"/>
    <n v="61739"/>
    <n v="68677"/>
    <n v="1271"/>
    <n v="2541"/>
    <n v="24175"/>
    <n v="4072"/>
    <n v="548"/>
    <n v="26138"/>
    <n v="2979"/>
    <m/>
    <m/>
    <m/>
    <n v="0"/>
    <n v="0"/>
    <m/>
    <m/>
    <m/>
    <m/>
    <m/>
    <m/>
    <m/>
    <m/>
    <m/>
    <m/>
    <m/>
    <m/>
  </r>
  <r>
    <x v="10"/>
    <s v="University of Science and Arts of Oklahoma"/>
    <m/>
    <n v="207722"/>
    <x v="5"/>
    <n v="31435"/>
    <n v="31198"/>
    <n v="31292"/>
    <n v="31086"/>
    <n v="143"/>
    <n v="112"/>
    <m/>
    <m/>
    <m/>
    <m/>
    <m/>
    <m/>
    <m/>
    <m/>
    <n v="0"/>
    <n v="0"/>
    <m/>
    <m/>
    <m/>
    <m/>
    <m/>
    <m/>
    <m/>
    <m/>
    <m/>
    <m/>
    <m/>
    <m/>
  </r>
  <r>
    <x v="10"/>
    <s v="Oklahoma State University Technical Branch-Okmulgee "/>
    <m/>
    <n v="207564"/>
    <x v="11"/>
    <n v="98559"/>
    <n v="96782"/>
    <n v="77757"/>
    <n v="78449"/>
    <n v="20802"/>
    <n v="12372"/>
    <m/>
    <m/>
    <m/>
    <n v="5961"/>
    <m/>
    <m/>
    <m/>
    <m/>
    <n v="0"/>
    <n v="0"/>
    <m/>
    <m/>
    <m/>
    <m/>
    <m/>
    <m/>
    <m/>
    <m/>
    <m/>
    <m/>
    <m/>
    <m/>
  </r>
  <r>
    <x v="10"/>
    <s v="Oklahoma City Community College "/>
    <m/>
    <n v="207449"/>
    <x v="6"/>
    <n v="264844"/>
    <n v="291030"/>
    <n v="192597"/>
    <n v="213599"/>
    <n v="22075"/>
    <n v="19210"/>
    <n v="37898"/>
    <n v="0"/>
    <n v="128"/>
    <n v="42507"/>
    <m/>
    <n v="96"/>
    <n v="12146"/>
    <n v="15618"/>
    <n v="0"/>
    <n v="0"/>
    <m/>
    <m/>
    <m/>
    <m/>
    <m/>
    <m/>
    <m/>
    <m/>
    <m/>
    <m/>
    <m/>
    <m/>
  </r>
  <r>
    <x v="10"/>
    <s v="Tulsa Community College "/>
    <m/>
    <n v="207935"/>
    <x v="6"/>
    <n v="374850"/>
    <n v="355979"/>
    <n v="280242"/>
    <n v="275136"/>
    <n v="13694"/>
    <n v="11756"/>
    <n v="78846"/>
    <n v="249"/>
    <n v="1819"/>
    <n v="69087"/>
    <m/>
    <m/>
    <m/>
    <m/>
    <n v="0"/>
    <n v="0"/>
    <m/>
    <m/>
    <m/>
    <m/>
    <m/>
    <m/>
    <m/>
    <m/>
    <m/>
    <m/>
    <m/>
    <m/>
  </r>
  <r>
    <x v="10"/>
    <s v="Northern Oklahoma College "/>
    <m/>
    <n v="207281"/>
    <x v="7"/>
    <n v="105661"/>
    <n v="112504"/>
    <n v="79947"/>
    <n v="78870"/>
    <n v="7485"/>
    <n v="9044"/>
    <n v="5635"/>
    <n v="11305"/>
    <n v="102"/>
    <n v="8935"/>
    <n v="15208"/>
    <n v="363"/>
    <n v="1187"/>
    <n v="84"/>
    <n v="0"/>
    <n v="0"/>
    <m/>
    <m/>
    <m/>
    <m/>
    <m/>
    <m/>
    <m/>
    <m/>
    <m/>
    <m/>
    <m/>
    <m/>
  </r>
  <r>
    <x v="10"/>
    <s v="Oklahoma State University-Oklahoma City "/>
    <m/>
    <n v="207397"/>
    <x v="7"/>
    <n v="130851"/>
    <n v="159604"/>
    <n v="92801"/>
    <n v="108255"/>
    <m/>
    <n v="1945"/>
    <n v="32617"/>
    <n v="0"/>
    <n v="5433"/>
    <n v="43192"/>
    <n v="3256"/>
    <n v="2956"/>
    <m/>
    <m/>
    <n v="0"/>
    <n v="0"/>
    <m/>
    <m/>
    <m/>
    <m/>
    <m/>
    <m/>
    <m/>
    <m/>
    <m/>
    <m/>
    <m/>
    <m/>
  </r>
  <r>
    <x v="10"/>
    <s v="Rose State College "/>
    <m/>
    <n v="207670"/>
    <x v="7"/>
    <n v="150857"/>
    <n v="167587"/>
    <n v="112770"/>
    <n v="124708"/>
    <n v="8904"/>
    <n v="9862"/>
    <n v="25696"/>
    <n v="162"/>
    <n v="3325"/>
    <n v="29544"/>
    <n v="404"/>
    <n v="3069"/>
    <m/>
    <m/>
    <n v="0"/>
    <n v="0"/>
    <m/>
    <m/>
    <m/>
    <m/>
    <m/>
    <m/>
    <m/>
    <m/>
    <m/>
    <m/>
    <m/>
    <m/>
  </r>
  <r>
    <x v="10"/>
    <s v="Carl Albert State College"/>
    <m/>
    <n v="206923"/>
    <x v="8"/>
    <n v="57326"/>
    <n v="65407"/>
    <n v="44738"/>
    <n v="25901"/>
    <n v="26"/>
    <n v="31"/>
    <n v="12166"/>
    <n v="396"/>
    <m/>
    <n v="14695"/>
    <n v="423"/>
    <n v="24357"/>
    <m/>
    <m/>
    <n v="0"/>
    <n v="0"/>
    <m/>
    <m/>
    <m/>
    <m/>
    <m/>
    <m/>
    <m/>
    <m/>
    <m/>
    <m/>
    <m/>
    <m/>
  </r>
  <r>
    <x v="10"/>
    <s v="Connors State College "/>
    <m/>
    <n v="206996"/>
    <x v="8"/>
    <n v="50750"/>
    <n v="57524"/>
    <n v="31478"/>
    <n v="38883"/>
    <n v="8244"/>
    <n v="8563"/>
    <n v="5312"/>
    <n v="5716"/>
    <m/>
    <n v="4308"/>
    <n v="5770"/>
    <m/>
    <m/>
    <m/>
    <n v="0"/>
    <n v="0"/>
    <m/>
    <m/>
    <m/>
    <m/>
    <m/>
    <m/>
    <m/>
    <m/>
    <m/>
    <m/>
    <m/>
    <m/>
  </r>
  <r>
    <x v="10"/>
    <s v="Eastern Oklahoma State College "/>
    <m/>
    <n v="207050"/>
    <x v="8"/>
    <n v="43058"/>
    <n v="46267"/>
    <n v="31738"/>
    <n v="33941"/>
    <n v="3858"/>
    <n v="3516"/>
    <n v="5164"/>
    <n v="2298"/>
    <m/>
    <n v="5352"/>
    <n v="3458"/>
    <m/>
    <m/>
    <m/>
    <n v="0"/>
    <n v="0"/>
    <m/>
    <m/>
    <m/>
    <m/>
    <m/>
    <m/>
    <m/>
    <m/>
    <m/>
    <m/>
    <m/>
    <m/>
  </r>
  <r>
    <x v="10"/>
    <s v="Murray State College "/>
    <m/>
    <n v="207236"/>
    <x v="8"/>
    <n v="53094"/>
    <n v="60760"/>
    <n v="36706"/>
    <n v="40625"/>
    <n v="621"/>
    <n v="2380"/>
    <n v="10405"/>
    <n v="5362"/>
    <m/>
    <n v="10403"/>
    <n v="7352"/>
    <m/>
    <m/>
    <m/>
    <n v="0"/>
    <n v="0"/>
    <m/>
    <m/>
    <m/>
    <m/>
    <m/>
    <m/>
    <m/>
    <m/>
    <m/>
    <m/>
    <m/>
    <m/>
  </r>
  <r>
    <x v="10"/>
    <s v="Northeastern Oklahoma A &amp; M College "/>
    <m/>
    <n v="207290"/>
    <x v="8"/>
    <n v="51826"/>
    <n v="58870"/>
    <n v="42442"/>
    <n v="47185"/>
    <n v="989"/>
    <n v="1383"/>
    <n v="7144"/>
    <n v="1251"/>
    <m/>
    <n v="8689"/>
    <n v="1613"/>
    <m/>
    <m/>
    <m/>
    <n v="0"/>
    <n v="0"/>
    <m/>
    <m/>
    <m/>
    <m/>
    <m/>
    <m/>
    <m/>
    <m/>
    <m/>
    <m/>
    <m/>
    <m/>
  </r>
  <r>
    <x v="10"/>
    <s v="Redlands Community College"/>
    <m/>
    <n v="207069"/>
    <x v="8"/>
    <n v="43612"/>
    <n v="49593"/>
    <n v="23497"/>
    <n v="27215"/>
    <n v="6012"/>
    <n v="7084"/>
    <n v="12318"/>
    <n v="1785"/>
    <m/>
    <n v="13440"/>
    <n v="1854"/>
    <m/>
    <m/>
    <m/>
    <n v="0"/>
    <n v="0"/>
    <m/>
    <m/>
    <m/>
    <m/>
    <m/>
    <m/>
    <m/>
    <m/>
    <m/>
    <m/>
    <m/>
    <m/>
  </r>
  <r>
    <x v="10"/>
    <s v="Seminole State College "/>
    <m/>
    <n v="207740"/>
    <x v="8"/>
    <n v="49016"/>
    <n v="48732"/>
    <n v="36211"/>
    <n v="34361"/>
    <n v="7231"/>
    <n v="7030"/>
    <n v="5463"/>
    <n v="96"/>
    <n v="15"/>
    <n v="7221"/>
    <n v="120"/>
    <m/>
    <m/>
    <m/>
    <n v="0"/>
    <n v="0"/>
    <m/>
    <m/>
    <m/>
    <m/>
    <m/>
    <m/>
    <m/>
    <m/>
    <m/>
    <m/>
    <m/>
    <m/>
  </r>
  <r>
    <x v="10"/>
    <s v="Western Oklahoma State College "/>
    <m/>
    <n v="208035"/>
    <x v="8"/>
    <n v="47879"/>
    <n v="58587"/>
    <n v="19295"/>
    <n v="21974"/>
    <n v="6706"/>
    <n v="5525"/>
    <n v="19223"/>
    <n v="2199"/>
    <n v="456"/>
    <n v="28667"/>
    <n v="1911"/>
    <n v="510"/>
    <m/>
    <m/>
    <n v="0"/>
    <n v="0"/>
    <m/>
    <m/>
    <m/>
    <m/>
    <m/>
    <m/>
    <m/>
    <m/>
    <m/>
    <m/>
    <m/>
    <m/>
  </r>
  <r>
    <x v="10"/>
    <s v="Canadian Valley Technology Center                 "/>
    <m/>
    <n v="365374"/>
    <x v="9"/>
    <n v="0"/>
    <n v="0"/>
    <m/>
    <m/>
    <m/>
    <m/>
    <m/>
    <m/>
    <m/>
    <m/>
    <m/>
    <m/>
    <m/>
    <m/>
    <n v="0"/>
    <n v="0"/>
    <m/>
    <m/>
    <m/>
    <m/>
    <m/>
    <m/>
    <m/>
    <m/>
    <m/>
    <m/>
    <m/>
    <m/>
  </r>
  <r>
    <x v="10"/>
    <s v="Francis Tuttle Technology Center                  "/>
    <m/>
    <n v="245999"/>
    <x v="9"/>
    <n v="0"/>
    <n v="0"/>
    <m/>
    <m/>
    <m/>
    <m/>
    <m/>
    <m/>
    <m/>
    <m/>
    <m/>
    <m/>
    <m/>
    <m/>
    <n v="0"/>
    <n v="0"/>
    <m/>
    <m/>
    <m/>
    <m/>
    <m/>
    <m/>
    <m/>
    <m/>
    <m/>
    <m/>
    <m/>
    <m/>
  </r>
  <r>
    <x v="10"/>
    <s v="Great Plains Technology Center                    "/>
    <s v="Met criteria for Technical Institute or College 2 in 2009-10 and 2010-11."/>
    <n v="364548"/>
    <x v="9"/>
    <n v="0"/>
    <n v="0"/>
    <m/>
    <m/>
    <m/>
    <m/>
    <m/>
    <m/>
    <m/>
    <m/>
    <m/>
    <m/>
    <m/>
    <m/>
    <n v="0"/>
    <n v="0"/>
    <m/>
    <m/>
    <m/>
    <m/>
    <m/>
    <m/>
    <m/>
    <m/>
    <m/>
    <m/>
    <m/>
    <m/>
  </r>
  <r>
    <x v="10"/>
    <s v="Metro Technology Centers                          "/>
    <m/>
    <n v="363165"/>
    <x v="9"/>
    <n v="0"/>
    <n v="0"/>
    <m/>
    <m/>
    <m/>
    <m/>
    <m/>
    <m/>
    <m/>
    <m/>
    <m/>
    <m/>
    <m/>
    <m/>
    <n v="0"/>
    <n v="0"/>
    <m/>
    <m/>
    <m/>
    <m/>
    <m/>
    <m/>
    <m/>
    <m/>
    <m/>
    <m/>
    <m/>
    <m/>
  </r>
  <r>
    <x v="10"/>
    <s v="Tulsa Technology Center-Broken Arrow Campus       "/>
    <s v="Met criteria for Technical Institute or College 2 in 2009-10 and 2010-11."/>
    <n v="261393"/>
    <x v="9"/>
    <n v="0"/>
    <n v="0"/>
    <m/>
    <m/>
    <m/>
    <m/>
    <m/>
    <m/>
    <m/>
    <m/>
    <m/>
    <m/>
    <m/>
    <m/>
    <n v="0"/>
    <n v="0"/>
    <m/>
    <m/>
    <m/>
    <m/>
    <m/>
    <m/>
    <m/>
    <m/>
    <m/>
    <m/>
    <m/>
    <m/>
  </r>
  <r>
    <x v="10"/>
    <s v="Autry Technology Center                           "/>
    <m/>
    <n v="365213"/>
    <x v="10"/>
    <n v="0"/>
    <n v="0"/>
    <m/>
    <m/>
    <m/>
    <m/>
    <m/>
    <m/>
    <m/>
    <m/>
    <m/>
    <m/>
    <m/>
    <m/>
    <n v="0"/>
    <n v="0"/>
    <m/>
    <m/>
    <m/>
    <m/>
    <m/>
    <m/>
    <m/>
    <m/>
    <m/>
    <m/>
    <m/>
    <m/>
  </r>
  <r>
    <x v="10"/>
    <s v="Caddo Kiowa Technology Center                     "/>
    <m/>
    <n v="364946"/>
    <x v="10"/>
    <n v="0"/>
    <n v="0"/>
    <m/>
    <m/>
    <m/>
    <m/>
    <m/>
    <m/>
    <m/>
    <m/>
    <m/>
    <m/>
    <m/>
    <m/>
    <n v="0"/>
    <n v="0"/>
    <m/>
    <m/>
    <m/>
    <m/>
    <m/>
    <m/>
    <m/>
    <m/>
    <m/>
    <m/>
    <m/>
    <m/>
  </r>
  <r>
    <x v="10"/>
    <s v="Central Technology Center                         "/>
    <m/>
    <n v="246017"/>
    <x v="10"/>
    <n v="0"/>
    <n v="0"/>
    <m/>
    <m/>
    <m/>
    <m/>
    <m/>
    <m/>
    <m/>
    <m/>
    <m/>
    <m/>
    <m/>
    <m/>
    <n v="0"/>
    <n v="0"/>
    <m/>
    <m/>
    <m/>
    <m/>
    <m/>
    <m/>
    <m/>
    <m/>
    <m/>
    <m/>
    <m/>
    <m/>
  </r>
  <r>
    <x v="10"/>
    <s v="Chisholm Trail Technology Center                  "/>
    <m/>
    <n v="375656"/>
    <x v="10"/>
    <n v="0"/>
    <n v="0"/>
    <m/>
    <m/>
    <m/>
    <m/>
    <m/>
    <m/>
    <m/>
    <m/>
    <m/>
    <m/>
    <m/>
    <m/>
    <n v="0"/>
    <n v="0"/>
    <m/>
    <m/>
    <m/>
    <m/>
    <m/>
    <m/>
    <m/>
    <m/>
    <m/>
    <m/>
    <m/>
    <m/>
  </r>
  <r>
    <x v="10"/>
    <s v="Eastern Oklahoma County Technology Center         "/>
    <m/>
    <n v="418348"/>
    <x v="10"/>
    <n v="0"/>
    <n v="0"/>
    <m/>
    <m/>
    <m/>
    <m/>
    <m/>
    <m/>
    <m/>
    <m/>
    <m/>
    <m/>
    <m/>
    <m/>
    <n v="0"/>
    <n v="0"/>
    <m/>
    <m/>
    <m/>
    <m/>
    <m/>
    <m/>
    <m/>
    <m/>
    <m/>
    <m/>
    <m/>
    <m/>
  </r>
  <r>
    <x v="10"/>
    <s v="Gordon Cooper Technology Center                   "/>
    <m/>
    <n v="375683"/>
    <x v="10"/>
    <n v="0"/>
    <n v="0"/>
    <m/>
    <m/>
    <m/>
    <m/>
    <m/>
    <m/>
    <m/>
    <m/>
    <m/>
    <m/>
    <m/>
    <m/>
    <n v="0"/>
    <n v="0"/>
    <m/>
    <m/>
    <m/>
    <m/>
    <m/>
    <m/>
    <m/>
    <m/>
    <m/>
    <m/>
    <m/>
    <m/>
  </r>
  <r>
    <x v="10"/>
    <s v="Green Country Technology Center                   "/>
    <m/>
    <n v="428019"/>
    <x v="10"/>
    <n v="0"/>
    <n v="0"/>
    <m/>
    <m/>
    <m/>
    <m/>
    <m/>
    <m/>
    <m/>
    <m/>
    <m/>
    <m/>
    <m/>
    <m/>
    <n v="0"/>
    <n v="0"/>
    <m/>
    <m/>
    <m/>
    <m/>
    <m/>
    <m/>
    <m/>
    <m/>
    <m/>
    <m/>
    <m/>
    <m/>
  </r>
  <r>
    <x v="10"/>
    <s v="High Plains Technology Center                     "/>
    <m/>
    <n v="208053"/>
    <x v="10"/>
    <n v="0"/>
    <n v="0"/>
    <m/>
    <m/>
    <m/>
    <m/>
    <m/>
    <m/>
    <m/>
    <m/>
    <m/>
    <m/>
    <m/>
    <m/>
    <n v="0"/>
    <n v="0"/>
    <m/>
    <m/>
    <m/>
    <m/>
    <m/>
    <m/>
    <m/>
    <m/>
    <m/>
    <m/>
    <m/>
    <m/>
  </r>
  <r>
    <x v="10"/>
    <s v="Indian Capital Technology Center-Muskogee         "/>
    <m/>
    <n v="418296"/>
    <x v="10"/>
    <n v="0"/>
    <n v="0"/>
    <m/>
    <m/>
    <m/>
    <m/>
    <m/>
    <m/>
    <m/>
    <m/>
    <m/>
    <m/>
    <m/>
    <m/>
    <n v="0"/>
    <n v="0"/>
    <m/>
    <m/>
    <m/>
    <m/>
    <m/>
    <m/>
    <m/>
    <m/>
    <m/>
    <m/>
    <m/>
    <m/>
  </r>
  <r>
    <x v="10"/>
    <s v="Indian Capital Technology Center-Sallisaw         "/>
    <m/>
    <n v="421540"/>
    <x v="10"/>
    <n v="0"/>
    <n v="0"/>
    <m/>
    <m/>
    <m/>
    <m/>
    <m/>
    <m/>
    <m/>
    <m/>
    <m/>
    <m/>
    <m/>
    <m/>
    <n v="0"/>
    <n v="0"/>
    <m/>
    <m/>
    <m/>
    <m/>
    <m/>
    <m/>
    <m/>
    <m/>
    <m/>
    <m/>
    <m/>
    <m/>
  </r>
  <r>
    <x v="10"/>
    <s v="Indian Capital Technology Center-Stilwell         "/>
    <m/>
    <n v="421559"/>
    <x v="10"/>
    <n v="0"/>
    <n v="0"/>
    <m/>
    <m/>
    <m/>
    <m/>
    <m/>
    <m/>
    <m/>
    <m/>
    <m/>
    <m/>
    <m/>
    <m/>
    <n v="0"/>
    <n v="0"/>
    <m/>
    <m/>
    <m/>
    <m/>
    <m/>
    <m/>
    <m/>
    <m/>
    <m/>
    <m/>
    <m/>
    <m/>
  </r>
  <r>
    <x v="10"/>
    <s v="Indian Capital Technology Center-Tahlequah        "/>
    <m/>
    <n v="208026"/>
    <x v="10"/>
    <n v="0"/>
    <n v="0"/>
    <m/>
    <m/>
    <m/>
    <m/>
    <m/>
    <m/>
    <m/>
    <m/>
    <m/>
    <m/>
    <m/>
    <m/>
    <n v="0"/>
    <n v="0"/>
    <m/>
    <m/>
    <m/>
    <m/>
    <m/>
    <m/>
    <m/>
    <m/>
    <m/>
    <m/>
    <m/>
    <m/>
  </r>
  <r>
    <x v="10"/>
    <s v="Kiamichi Technology Center-Atoka                  "/>
    <m/>
    <n v="375692"/>
    <x v="10"/>
    <n v="0"/>
    <n v="0"/>
    <m/>
    <m/>
    <m/>
    <m/>
    <m/>
    <m/>
    <m/>
    <m/>
    <m/>
    <m/>
    <m/>
    <m/>
    <n v="0"/>
    <n v="0"/>
    <m/>
    <m/>
    <m/>
    <m/>
    <m/>
    <m/>
    <m/>
    <m/>
    <m/>
    <m/>
    <m/>
    <m/>
  </r>
  <r>
    <x v="10"/>
    <s v="Kiamichi Technology Center-Durant                 "/>
    <m/>
    <n v="375708"/>
    <x v="10"/>
    <n v="0"/>
    <n v="0"/>
    <m/>
    <m/>
    <m/>
    <m/>
    <m/>
    <m/>
    <m/>
    <m/>
    <m/>
    <m/>
    <m/>
    <m/>
    <n v="0"/>
    <n v="0"/>
    <m/>
    <m/>
    <m/>
    <m/>
    <m/>
    <m/>
    <m/>
    <m/>
    <m/>
    <m/>
    <m/>
    <m/>
  </r>
  <r>
    <x v="10"/>
    <s v="Kiamichi Technology Center-Hugo                   "/>
    <m/>
    <n v="375717"/>
    <x v="10"/>
    <n v="0"/>
    <n v="0"/>
    <m/>
    <m/>
    <m/>
    <m/>
    <m/>
    <m/>
    <m/>
    <m/>
    <m/>
    <m/>
    <m/>
    <m/>
    <n v="0"/>
    <n v="0"/>
    <m/>
    <m/>
    <m/>
    <m/>
    <m/>
    <m/>
    <m/>
    <m/>
    <m/>
    <m/>
    <m/>
    <m/>
  </r>
  <r>
    <x v="10"/>
    <s v="Kiamichi Technology Center-Idabel                 "/>
    <m/>
    <n v="375735"/>
    <x v="10"/>
    <n v="0"/>
    <n v="0"/>
    <m/>
    <m/>
    <m/>
    <m/>
    <m/>
    <m/>
    <m/>
    <m/>
    <m/>
    <m/>
    <m/>
    <m/>
    <n v="0"/>
    <n v="0"/>
    <m/>
    <m/>
    <m/>
    <m/>
    <m/>
    <m/>
    <m/>
    <m/>
    <m/>
    <m/>
    <m/>
    <m/>
  </r>
  <r>
    <x v="10"/>
    <s v="Kiamichi Technology Center-McAlester              "/>
    <m/>
    <n v="375726"/>
    <x v="10"/>
    <n v="0"/>
    <n v="0"/>
    <m/>
    <m/>
    <m/>
    <m/>
    <m/>
    <m/>
    <m/>
    <m/>
    <m/>
    <m/>
    <m/>
    <m/>
    <n v="0"/>
    <n v="0"/>
    <m/>
    <m/>
    <m/>
    <m/>
    <m/>
    <m/>
    <m/>
    <m/>
    <m/>
    <m/>
    <m/>
    <m/>
  </r>
  <r>
    <x v="10"/>
    <s v="Kiamichi Technology Center-Poteau                 "/>
    <m/>
    <n v="375744"/>
    <x v="10"/>
    <n v="0"/>
    <n v="0"/>
    <m/>
    <m/>
    <m/>
    <m/>
    <m/>
    <m/>
    <m/>
    <m/>
    <m/>
    <m/>
    <m/>
    <m/>
    <n v="0"/>
    <n v="0"/>
    <m/>
    <m/>
    <m/>
    <m/>
    <m/>
    <m/>
    <m/>
    <m/>
    <m/>
    <m/>
    <m/>
    <m/>
  </r>
  <r>
    <x v="10"/>
    <s v="Kiamichi Technology Center-Spiro                  "/>
    <m/>
    <n v="375753"/>
    <x v="10"/>
    <n v="0"/>
    <n v="0"/>
    <m/>
    <m/>
    <m/>
    <m/>
    <m/>
    <m/>
    <m/>
    <m/>
    <m/>
    <m/>
    <m/>
    <m/>
    <n v="0"/>
    <n v="0"/>
    <m/>
    <m/>
    <m/>
    <m/>
    <m/>
    <m/>
    <m/>
    <m/>
    <m/>
    <m/>
    <m/>
    <m/>
  </r>
  <r>
    <x v="10"/>
    <s v="Kiamichi Technology Center-Stigler                "/>
    <m/>
    <n v="405748"/>
    <x v="10"/>
    <n v="0"/>
    <n v="0"/>
    <m/>
    <m/>
    <m/>
    <m/>
    <m/>
    <m/>
    <m/>
    <m/>
    <m/>
    <m/>
    <m/>
    <m/>
    <n v="0"/>
    <n v="0"/>
    <m/>
    <m/>
    <m/>
    <m/>
    <m/>
    <m/>
    <m/>
    <m/>
    <m/>
    <m/>
    <m/>
    <m/>
  </r>
  <r>
    <x v="10"/>
    <s v="Kiamichi Technology Center-Talihina               "/>
    <m/>
    <n v="375762"/>
    <x v="10"/>
    <n v="0"/>
    <n v="0"/>
    <m/>
    <m/>
    <m/>
    <m/>
    <m/>
    <m/>
    <m/>
    <m/>
    <m/>
    <m/>
    <m/>
    <m/>
    <n v="0"/>
    <n v="0"/>
    <m/>
    <m/>
    <m/>
    <m/>
    <m/>
    <m/>
    <m/>
    <m/>
    <m/>
    <m/>
    <m/>
    <m/>
  </r>
  <r>
    <x v="10"/>
    <s v="Meridian Technology Center                        "/>
    <m/>
    <n v="365480"/>
    <x v="10"/>
    <n v="0"/>
    <n v="0"/>
    <m/>
    <m/>
    <m/>
    <m/>
    <m/>
    <m/>
    <m/>
    <m/>
    <m/>
    <m/>
    <m/>
    <m/>
    <n v="0"/>
    <n v="0"/>
    <m/>
    <m/>
    <m/>
    <m/>
    <m/>
    <m/>
    <m/>
    <m/>
    <m/>
    <m/>
    <m/>
    <m/>
  </r>
  <r>
    <x v="10"/>
    <s v="Mid-America Technology Center                     "/>
    <m/>
    <n v="418320"/>
    <x v="10"/>
    <n v="0"/>
    <n v="0"/>
    <m/>
    <m/>
    <m/>
    <m/>
    <m/>
    <m/>
    <m/>
    <m/>
    <m/>
    <m/>
    <m/>
    <m/>
    <n v="0"/>
    <n v="0"/>
    <m/>
    <m/>
    <m/>
    <m/>
    <m/>
    <m/>
    <m/>
    <m/>
    <m/>
    <m/>
    <m/>
    <m/>
  </r>
  <r>
    <x v="10"/>
    <s v="Mid-Del Technology Center                         "/>
    <m/>
    <n v="431017"/>
    <x v="10"/>
    <n v="0"/>
    <n v="0"/>
    <m/>
    <m/>
    <m/>
    <m/>
    <m/>
    <m/>
    <m/>
    <m/>
    <m/>
    <m/>
    <m/>
    <m/>
    <n v="0"/>
    <n v="0"/>
    <m/>
    <m/>
    <m/>
    <m/>
    <m/>
    <m/>
    <m/>
    <m/>
    <m/>
    <m/>
    <m/>
    <m/>
  </r>
  <r>
    <x v="10"/>
    <s v="Moore Norman Technology Center                    "/>
    <m/>
    <n v="248606"/>
    <x v="10"/>
    <n v="0"/>
    <n v="0"/>
    <m/>
    <m/>
    <m/>
    <m/>
    <m/>
    <m/>
    <m/>
    <m/>
    <m/>
    <m/>
    <m/>
    <m/>
    <n v="0"/>
    <n v="0"/>
    <m/>
    <m/>
    <m/>
    <m/>
    <m/>
    <m/>
    <m/>
    <m/>
    <m/>
    <m/>
    <m/>
    <m/>
  </r>
  <r>
    <x v="10"/>
    <s v="Northeast Technology Center-Afton                 "/>
    <m/>
    <n v="420459"/>
    <x v="10"/>
    <n v="0"/>
    <n v="0"/>
    <m/>
    <m/>
    <m/>
    <m/>
    <m/>
    <m/>
    <m/>
    <m/>
    <m/>
    <m/>
    <m/>
    <m/>
    <n v="0"/>
    <n v="0"/>
    <m/>
    <m/>
    <m/>
    <m/>
    <m/>
    <m/>
    <m/>
    <m/>
    <m/>
    <m/>
    <m/>
    <m/>
  </r>
  <r>
    <x v="10"/>
    <s v="Northeast Technology Center-Kansas                "/>
    <m/>
    <n v="432074"/>
    <x v="10"/>
    <n v="0"/>
    <n v="0"/>
    <m/>
    <m/>
    <m/>
    <m/>
    <m/>
    <m/>
    <m/>
    <m/>
    <m/>
    <m/>
    <m/>
    <m/>
    <n v="0"/>
    <n v="0"/>
    <m/>
    <m/>
    <m/>
    <m/>
    <m/>
    <m/>
    <m/>
    <m/>
    <m/>
    <m/>
    <m/>
    <m/>
  </r>
  <r>
    <x v="10"/>
    <s v="Northeast Technology Center-Pryor                 "/>
    <m/>
    <n v="418339"/>
    <x v="10"/>
    <n v="0"/>
    <n v="0"/>
    <m/>
    <m/>
    <m/>
    <m/>
    <m/>
    <m/>
    <m/>
    <m/>
    <m/>
    <m/>
    <m/>
    <m/>
    <n v="0"/>
    <n v="0"/>
    <m/>
    <m/>
    <m/>
    <m/>
    <m/>
    <m/>
    <m/>
    <m/>
    <m/>
    <m/>
    <m/>
    <m/>
  </r>
  <r>
    <x v="10"/>
    <s v="Northwest Technology Center-Alva                  "/>
    <m/>
    <n v="366623"/>
    <x v="10"/>
    <n v="0"/>
    <n v="0"/>
    <m/>
    <m/>
    <m/>
    <m/>
    <m/>
    <m/>
    <m/>
    <m/>
    <m/>
    <m/>
    <m/>
    <m/>
    <n v="0"/>
    <n v="0"/>
    <m/>
    <m/>
    <m/>
    <m/>
    <m/>
    <m/>
    <m/>
    <m/>
    <m/>
    <m/>
    <m/>
    <m/>
  </r>
  <r>
    <x v="10"/>
    <s v="Northwest Technology Center-Fairview              "/>
    <m/>
    <n v="407601"/>
    <x v="10"/>
    <n v="0"/>
    <n v="0"/>
    <m/>
    <m/>
    <m/>
    <m/>
    <m/>
    <m/>
    <m/>
    <m/>
    <m/>
    <m/>
    <m/>
    <m/>
    <n v="0"/>
    <n v="0"/>
    <m/>
    <m/>
    <m/>
    <m/>
    <m/>
    <m/>
    <m/>
    <m/>
    <m/>
    <m/>
    <m/>
    <m/>
  </r>
  <r>
    <x v="10"/>
    <s v="Pioneer Technology Center                         "/>
    <m/>
    <n v="364627"/>
    <x v="10"/>
    <n v="0"/>
    <n v="0"/>
    <m/>
    <m/>
    <m/>
    <m/>
    <m/>
    <m/>
    <m/>
    <m/>
    <m/>
    <m/>
    <m/>
    <m/>
    <n v="0"/>
    <n v="0"/>
    <m/>
    <m/>
    <m/>
    <m/>
    <m/>
    <m/>
    <m/>
    <m/>
    <m/>
    <m/>
    <m/>
    <m/>
  </r>
  <r>
    <x v="10"/>
    <s v="Pontotoc Technology Center                        "/>
    <m/>
    <n v="206905"/>
    <x v="10"/>
    <n v="0"/>
    <n v="0"/>
    <m/>
    <m/>
    <m/>
    <m/>
    <m/>
    <m/>
    <m/>
    <m/>
    <m/>
    <m/>
    <m/>
    <m/>
    <n v="0"/>
    <n v="0"/>
    <m/>
    <m/>
    <m/>
    <m/>
    <m/>
    <m/>
    <m/>
    <m/>
    <m/>
    <m/>
    <m/>
    <m/>
  </r>
  <r>
    <x v="10"/>
    <s v="Red River Technology Center                       "/>
    <m/>
    <n v="250993"/>
    <x v="10"/>
    <n v="0"/>
    <n v="0"/>
    <m/>
    <m/>
    <m/>
    <m/>
    <m/>
    <m/>
    <m/>
    <m/>
    <m/>
    <m/>
    <m/>
    <m/>
    <n v="0"/>
    <n v="0"/>
    <m/>
    <m/>
    <m/>
    <m/>
    <m/>
    <m/>
    <m/>
    <m/>
    <m/>
    <m/>
    <m/>
    <m/>
  </r>
  <r>
    <x v="10"/>
    <s v="Southern Oklahoma Technology Center               "/>
    <m/>
    <n v="365198"/>
    <x v="10"/>
    <n v="0"/>
    <n v="0"/>
    <m/>
    <m/>
    <m/>
    <m/>
    <m/>
    <m/>
    <m/>
    <m/>
    <m/>
    <m/>
    <m/>
    <m/>
    <n v="0"/>
    <n v="0"/>
    <m/>
    <m/>
    <m/>
    <m/>
    <m/>
    <m/>
    <m/>
    <m/>
    <m/>
    <m/>
    <m/>
    <m/>
  </r>
  <r>
    <x v="10"/>
    <s v="Southwest Technology Center                       "/>
    <m/>
    <n v="368364"/>
    <x v="10"/>
    <n v="0"/>
    <n v="0"/>
    <m/>
    <m/>
    <m/>
    <m/>
    <m/>
    <m/>
    <m/>
    <m/>
    <m/>
    <m/>
    <m/>
    <m/>
    <n v="0"/>
    <n v="0"/>
    <m/>
    <m/>
    <m/>
    <m/>
    <m/>
    <m/>
    <m/>
    <m/>
    <m/>
    <m/>
    <m/>
    <m/>
  </r>
  <r>
    <x v="10"/>
    <s v="Tri County Technology Center                      "/>
    <m/>
    <n v="418287"/>
    <x v="10"/>
    <n v="0"/>
    <n v="0"/>
    <m/>
    <m/>
    <m/>
    <m/>
    <m/>
    <m/>
    <m/>
    <m/>
    <m/>
    <m/>
    <m/>
    <m/>
    <n v="0"/>
    <n v="0"/>
    <m/>
    <m/>
    <m/>
    <m/>
    <m/>
    <m/>
    <m/>
    <m/>
    <m/>
    <m/>
    <m/>
    <m/>
  </r>
  <r>
    <x v="10"/>
    <s v="Tulsa County Area Voc Tech School Dist 18-Peoria  "/>
    <m/>
    <n v="207607"/>
    <x v="10"/>
    <n v="0"/>
    <n v="0"/>
    <m/>
    <m/>
    <m/>
    <m/>
    <m/>
    <m/>
    <m/>
    <m/>
    <m/>
    <m/>
    <m/>
    <m/>
    <n v="0"/>
    <n v="0"/>
    <m/>
    <m/>
    <m/>
    <m/>
    <m/>
    <m/>
    <m/>
    <m/>
    <m/>
    <m/>
    <m/>
    <m/>
  </r>
  <r>
    <x v="10"/>
    <s v="Tulsa Technology Center-Lemley Campus             "/>
    <m/>
    <n v="261375"/>
    <x v="10"/>
    <n v="0"/>
    <n v="0"/>
    <m/>
    <m/>
    <m/>
    <m/>
    <m/>
    <m/>
    <m/>
    <m/>
    <m/>
    <m/>
    <m/>
    <m/>
    <n v="0"/>
    <n v="0"/>
    <m/>
    <m/>
    <m/>
    <m/>
    <m/>
    <m/>
    <m/>
    <m/>
    <m/>
    <m/>
    <m/>
    <m/>
  </r>
  <r>
    <x v="10"/>
    <s v="Tulsa Technology Center-Riverside Campus          "/>
    <m/>
    <n v="261384"/>
    <x v="10"/>
    <n v="0"/>
    <n v="0"/>
    <m/>
    <m/>
    <m/>
    <m/>
    <m/>
    <m/>
    <m/>
    <m/>
    <m/>
    <m/>
    <m/>
    <m/>
    <n v="0"/>
    <n v="0"/>
    <m/>
    <m/>
    <m/>
    <m/>
    <m/>
    <m/>
    <m/>
    <m/>
    <m/>
    <m/>
    <m/>
    <m/>
  </r>
  <r>
    <x v="10"/>
    <s v="Wes Watkins Technology Center                     "/>
    <m/>
    <n v="418357"/>
    <x v="10"/>
    <n v="0"/>
    <n v="0"/>
    <m/>
    <m/>
    <m/>
    <m/>
    <m/>
    <m/>
    <m/>
    <m/>
    <m/>
    <m/>
    <m/>
    <m/>
    <n v="0"/>
    <n v="0"/>
    <m/>
    <m/>
    <m/>
    <m/>
    <m/>
    <m/>
    <m/>
    <m/>
    <m/>
    <m/>
    <m/>
    <m/>
  </r>
  <r>
    <x v="10"/>
    <s v="Western Technology Center                         "/>
    <m/>
    <n v="418302"/>
    <x v="10"/>
    <n v="0"/>
    <n v="0"/>
    <m/>
    <m/>
    <m/>
    <m/>
    <m/>
    <m/>
    <m/>
    <m/>
    <m/>
    <m/>
    <m/>
    <m/>
    <n v="0"/>
    <n v="0"/>
    <m/>
    <m/>
    <m/>
    <m/>
    <m/>
    <m/>
    <m/>
    <m/>
    <m/>
    <m/>
    <m/>
    <m/>
  </r>
  <r>
    <x v="10"/>
    <s v="Northeast Technology Center-Claremore"/>
    <s v="New institution in start up phase. (Met the criteria for Technical Institute 2 but they'd like it in &quot;start up&quot; for one more year.)"/>
    <n v="456560"/>
    <x v="12"/>
    <n v="0"/>
    <n v="0"/>
    <m/>
    <m/>
    <m/>
    <m/>
    <m/>
    <m/>
    <m/>
    <m/>
    <m/>
    <m/>
    <m/>
    <m/>
    <n v="0"/>
    <n v="0"/>
    <m/>
    <m/>
    <m/>
    <m/>
    <m/>
    <m/>
    <m/>
    <m/>
    <m/>
    <m/>
    <m/>
    <m/>
  </r>
  <r>
    <x v="11"/>
    <s v="Clemson University"/>
    <m/>
    <n v="217882"/>
    <x v="0"/>
    <n v="456359"/>
    <n v="467392"/>
    <n v="426379"/>
    <n v="434260"/>
    <n v="3564"/>
    <n v="5322"/>
    <n v="26416"/>
    <m/>
    <m/>
    <n v="27810"/>
    <m/>
    <m/>
    <m/>
    <m/>
    <n v="67757"/>
    <n v="73789"/>
    <n v="53863"/>
    <n v="57420"/>
    <n v="10060"/>
    <n v="11411"/>
    <n v="3834"/>
    <m/>
    <m/>
    <n v="4958"/>
    <m/>
    <m/>
    <m/>
    <m/>
  </r>
  <r>
    <x v="11"/>
    <s v="University of South Carolina-Columbia"/>
    <m/>
    <n v="218663"/>
    <x v="0"/>
    <n v="602301"/>
    <n v="628870"/>
    <n v="578438"/>
    <n v="596746"/>
    <n v="14337"/>
    <n v="17350"/>
    <n v="3712"/>
    <n v="2398"/>
    <n v="3416"/>
    <n v="10183"/>
    <n v="3506"/>
    <n v="1085"/>
    <m/>
    <m/>
    <n v="111336"/>
    <n v="116559"/>
    <n v="71097"/>
    <n v="74601"/>
    <n v="9844"/>
    <n v="9276"/>
    <n v="22864"/>
    <m/>
    <n v="7531"/>
    <n v="29956"/>
    <n v="474"/>
    <n v="2252"/>
    <m/>
    <m/>
  </r>
  <r>
    <x v="11"/>
    <s v="College of Charleston"/>
    <m/>
    <n v="217819"/>
    <x v="2"/>
    <n v="289361"/>
    <n v="294793"/>
    <n v="289274"/>
    <n v="294499"/>
    <n v="87"/>
    <n v="294"/>
    <m/>
    <m/>
    <m/>
    <m/>
    <m/>
    <m/>
    <m/>
    <m/>
    <n v="18619"/>
    <n v="18228"/>
    <n v="12285"/>
    <n v="13057"/>
    <n v="6241"/>
    <n v="4911"/>
    <n v="93"/>
    <m/>
    <m/>
    <n v="122"/>
    <m/>
    <n v="138"/>
    <m/>
    <m/>
  </r>
  <r>
    <x v="11"/>
    <s v="Winthrop University "/>
    <m/>
    <n v="218964"/>
    <x v="2"/>
    <n v="143947"/>
    <n v="143586.5"/>
    <n v="142404"/>
    <n v="142629.5"/>
    <n v="1543"/>
    <n v="645"/>
    <m/>
    <m/>
    <m/>
    <n v="312"/>
    <m/>
    <m/>
    <m/>
    <m/>
    <n v="17814"/>
    <n v="18159"/>
    <n v="15192"/>
    <n v="15896"/>
    <n v="2622"/>
    <n v="2032"/>
    <m/>
    <m/>
    <m/>
    <n v="231"/>
    <m/>
    <m/>
    <m/>
    <m/>
  </r>
  <r>
    <x v="11"/>
    <s v="The Citadel, the Military College of South Carolina "/>
    <m/>
    <n v="217864"/>
    <x v="3"/>
    <n v="83574"/>
    <n v="85876"/>
    <n v="83277"/>
    <n v="85420"/>
    <n v="189"/>
    <n v="237"/>
    <n v="108"/>
    <m/>
    <m/>
    <n v="219"/>
    <m/>
    <m/>
    <m/>
    <m/>
    <n v="15590"/>
    <n v="15502"/>
    <n v="14030"/>
    <n v="14686"/>
    <n v="981"/>
    <n v="579"/>
    <n v="579"/>
    <m/>
    <m/>
    <n v="237"/>
    <m/>
    <m/>
    <m/>
    <m/>
  </r>
  <r>
    <x v="11"/>
    <s v="Coastal Carolina University"/>
    <m/>
    <n v="218724"/>
    <x v="4"/>
    <n v="222498"/>
    <n v="236506"/>
    <n v="213939"/>
    <n v="225585"/>
    <n v="1309"/>
    <n v="2531"/>
    <n v="7250"/>
    <m/>
    <m/>
    <n v="8390"/>
    <m/>
    <m/>
    <m/>
    <m/>
    <n v="7506"/>
    <n v="9490"/>
    <n v="4149"/>
    <n v="4434"/>
    <n v="1146"/>
    <n v="2725"/>
    <n v="2211"/>
    <m/>
    <m/>
    <n v="2331"/>
    <m/>
    <m/>
    <m/>
    <m/>
  </r>
  <r>
    <x v="11"/>
    <s v="Francis Marion University "/>
    <m/>
    <n v="218061"/>
    <x v="4"/>
    <n v="98637"/>
    <n v="103303"/>
    <n v="98585"/>
    <n v="103157"/>
    <n v="52"/>
    <n v="140"/>
    <m/>
    <m/>
    <m/>
    <n v="6"/>
    <m/>
    <m/>
    <m/>
    <m/>
    <n v="4366"/>
    <n v="4469"/>
    <n v="2257"/>
    <n v="2897"/>
    <n v="2109"/>
    <n v="1563"/>
    <m/>
    <m/>
    <m/>
    <n v="9"/>
    <m/>
    <m/>
    <m/>
    <m/>
  </r>
  <r>
    <x v="11"/>
    <s v="South Carolina State University "/>
    <m/>
    <n v="218733"/>
    <x v="4"/>
    <n v="118626"/>
    <n v="115174"/>
    <n v="116127"/>
    <n v="113401.53"/>
    <n v="281"/>
    <n v="0"/>
    <n v="2218"/>
    <m/>
    <m/>
    <n v="1483.47"/>
    <m/>
    <n v="289"/>
    <m/>
    <m/>
    <n v="11693"/>
    <n v="11075"/>
    <n v="8878"/>
    <n v="10358"/>
    <n v="79"/>
    <m/>
    <n v="2736"/>
    <m/>
    <m/>
    <n v="717"/>
    <m/>
    <m/>
    <m/>
    <m/>
  </r>
  <r>
    <x v="11"/>
    <s v="Lander University"/>
    <s v="Met the criteria for Four-Year 5 in 2010-11."/>
    <n v="218229"/>
    <x v="5"/>
    <n v="76101"/>
    <n v="82796.5"/>
    <n v="71575"/>
    <n v="77111.5"/>
    <n v="453"/>
    <n v="310"/>
    <n v="3647"/>
    <n v="426"/>
    <m/>
    <n v="5224"/>
    <n v="151"/>
    <m/>
    <m/>
    <m/>
    <n v="1434"/>
    <n v="1854"/>
    <n v="741"/>
    <n v="1077"/>
    <n v="321"/>
    <n v="306"/>
    <n v="372"/>
    <m/>
    <m/>
    <n v="471"/>
    <m/>
    <m/>
    <m/>
    <m/>
  </r>
  <r>
    <x v="11"/>
    <s v="University of South Carolina-Aiken"/>
    <m/>
    <n v="218645"/>
    <x v="5"/>
    <n v="82339"/>
    <n v="84564"/>
    <n v="76957"/>
    <n v="77348"/>
    <n v="3405"/>
    <n v="3831"/>
    <n v="1977"/>
    <m/>
    <m/>
    <n v="3385"/>
    <m/>
    <m/>
    <m/>
    <m/>
    <n v="996"/>
    <n v="1192"/>
    <n v="616"/>
    <n v="565"/>
    <n v="122"/>
    <n v="198"/>
    <n v="213"/>
    <m/>
    <n v="45"/>
    <n v="429"/>
    <m/>
    <m/>
    <m/>
    <m/>
  </r>
  <r>
    <x v="11"/>
    <s v="University of South Carolina-Beaufort"/>
    <s v="Austin Peay State University "/>
    <s v="Reclassified: met the criteria for Four-Year 3 in 2008-09, 2009-10 and 2010-11."/>
    <x v="5"/>
    <n v="41461"/>
    <n v="45714"/>
    <n v="36548"/>
    <n v="39739"/>
    <n v="4913"/>
    <n v="5975"/>
    <m/>
    <m/>
    <m/>
    <m/>
    <m/>
    <m/>
    <m/>
    <m/>
    <n v="0"/>
    <n v="0"/>
    <m/>
    <m/>
    <m/>
    <m/>
    <m/>
    <m/>
    <m/>
    <m/>
    <m/>
    <m/>
    <m/>
    <m/>
  </r>
  <r>
    <x v="11"/>
    <s v="University of South Carolina-Upstate"/>
    <m/>
    <n v="218742"/>
    <x v="5"/>
    <n v="142601"/>
    <n v="148590"/>
    <n v="120732"/>
    <n v="123088"/>
    <n v="12214"/>
    <n v="12990"/>
    <n v="9352"/>
    <m/>
    <n v="303"/>
    <n v="12344"/>
    <m/>
    <n v="168"/>
    <m/>
    <m/>
    <n v="1345"/>
    <n v="1351"/>
    <n v="781"/>
    <n v="481"/>
    <n v="231"/>
    <n v="312"/>
    <n v="333"/>
    <m/>
    <m/>
    <n v="495"/>
    <n v="9"/>
    <n v="54"/>
    <m/>
    <m/>
  </r>
  <r>
    <x v="11"/>
    <s v="Greenville Technical College "/>
    <m/>
    <n v="218113"/>
    <x v="6"/>
    <n v="347720"/>
    <n v="344968"/>
    <n v="258811"/>
    <n v="243786"/>
    <n v="17205"/>
    <n v="17540"/>
    <n v="68776"/>
    <n v="2322"/>
    <n v="606"/>
    <n v="82412"/>
    <n v="660"/>
    <n v="570"/>
    <m/>
    <m/>
    <n v="0"/>
    <n v="0"/>
    <m/>
    <m/>
    <m/>
    <m/>
    <m/>
    <m/>
    <m/>
    <m/>
    <m/>
    <m/>
    <m/>
    <m/>
  </r>
  <r>
    <x v="11"/>
    <s v="Midlands Technical College "/>
    <m/>
    <n v="218353"/>
    <x v="6"/>
    <n v="288919"/>
    <n v="281859"/>
    <n v="233966"/>
    <n v="215337"/>
    <n v="17150"/>
    <n v="16951"/>
    <n v="37803"/>
    <m/>
    <m/>
    <n v="49571"/>
    <m/>
    <m/>
    <m/>
    <m/>
    <n v="0"/>
    <n v="0"/>
    <m/>
    <m/>
    <m/>
    <m/>
    <m/>
    <m/>
    <m/>
    <m/>
    <m/>
    <m/>
    <m/>
    <m/>
  </r>
  <r>
    <x v="11"/>
    <s v="Trident Technical College "/>
    <m/>
    <n v="218894"/>
    <x v="6"/>
    <n v="335352"/>
    <n v="357179"/>
    <n v="258781"/>
    <n v="264813"/>
    <n v="9090"/>
    <n v="11457"/>
    <n v="66641"/>
    <n v="201"/>
    <n v="639"/>
    <n v="80909"/>
    <m/>
    <m/>
    <m/>
    <m/>
    <n v="0"/>
    <n v="0"/>
    <m/>
    <m/>
    <m/>
    <m/>
    <m/>
    <m/>
    <m/>
    <m/>
    <m/>
    <m/>
    <m/>
    <m/>
  </r>
  <r>
    <x v="11"/>
    <s v="Aiken Technical College "/>
    <m/>
    <n v="217615"/>
    <x v="7"/>
    <n v="78175"/>
    <n v="75200"/>
    <n v="63116"/>
    <n v="58693"/>
    <n v="4351"/>
    <n v="4571"/>
    <n v="10702"/>
    <m/>
    <n v="6"/>
    <n v="11936"/>
    <m/>
    <m/>
    <m/>
    <m/>
    <n v="0"/>
    <n v="0"/>
    <m/>
    <m/>
    <m/>
    <m/>
    <m/>
    <m/>
    <m/>
    <m/>
    <m/>
    <m/>
    <m/>
    <m/>
  </r>
  <r>
    <x v="11"/>
    <s v="Central Carolina Technical College "/>
    <m/>
    <n v="218858"/>
    <x v="7"/>
    <n v="82212"/>
    <n v="93068"/>
    <n v="58541"/>
    <n v="68067"/>
    <n v="10162"/>
    <n v="9497"/>
    <n v="12862"/>
    <n v="647"/>
    <m/>
    <n v="15504"/>
    <m/>
    <m/>
    <m/>
    <m/>
    <n v="0"/>
    <n v="0"/>
    <m/>
    <m/>
    <m/>
    <m/>
    <m/>
    <m/>
    <m/>
    <m/>
    <m/>
    <m/>
    <m/>
    <m/>
  </r>
  <r>
    <x v="11"/>
    <s v="Florence-Darlington Technical College "/>
    <s v="Met the criteria for Two-year 1 in 2010-11."/>
    <n v="218025"/>
    <x v="7"/>
    <n v="129223"/>
    <n v="141993"/>
    <n v="95334"/>
    <n v="98830"/>
    <n v="10322"/>
    <n v="10162"/>
    <n v="17678"/>
    <n v="5889"/>
    <m/>
    <n v="26610"/>
    <n v="6391"/>
    <m/>
    <m/>
    <m/>
    <n v="0"/>
    <n v="0"/>
    <m/>
    <m/>
    <m/>
    <m/>
    <m/>
    <m/>
    <m/>
    <m/>
    <m/>
    <m/>
    <m/>
    <m/>
  </r>
  <r>
    <x v="11"/>
    <s v="Horry-Georgetown Technical College "/>
    <s v="Met the criteria for Two-year 1 in 2009-10 and 2010-11."/>
    <n v="218140"/>
    <x v="7"/>
    <n v="157982"/>
    <n v="173200"/>
    <n v="134049"/>
    <n v="144519"/>
    <n v="6399"/>
    <n v="6896"/>
    <n v="17534"/>
    <m/>
    <m/>
    <n v="21785"/>
    <m/>
    <m/>
    <m/>
    <m/>
    <n v="0"/>
    <n v="0"/>
    <m/>
    <m/>
    <m/>
    <m/>
    <m/>
    <m/>
    <m/>
    <m/>
    <m/>
    <m/>
    <m/>
    <m/>
  </r>
  <r>
    <x v="11"/>
    <s v="Orangeburg-Calhoun Technical College "/>
    <m/>
    <n v="218487"/>
    <x v="7"/>
    <n v="72640"/>
    <n v="72998"/>
    <n v="55839"/>
    <n v="55716"/>
    <n v="9396"/>
    <n v="8717"/>
    <n v="7405"/>
    <m/>
    <m/>
    <n v="8565"/>
    <m/>
    <m/>
    <m/>
    <m/>
    <n v="0"/>
    <n v="0"/>
    <m/>
    <m/>
    <m/>
    <m/>
    <m/>
    <m/>
    <m/>
    <m/>
    <m/>
    <m/>
    <m/>
    <m/>
  </r>
  <r>
    <x v="11"/>
    <s v="Piedmont Technical College "/>
    <s v="Met the criteria for Two-year 1 in 2010-11."/>
    <n v="218520"/>
    <x v="7"/>
    <n v="137652"/>
    <n v="138959"/>
    <n v="76044"/>
    <n v="71712"/>
    <n v="17229"/>
    <n v="15257"/>
    <n v="28964"/>
    <n v="15415"/>
    <m/>
    <n v="36827"/>
    <n v="15163"/>
    <m/>
    <m/>
    <m/>
    <n v="0"/>
    <n v="0"/>
    <m/>
    <m/>
    <m/>
    <m/>
    <m/>
    <m/>
    <m/>
    <m/>
    <m/>
    <m/>
    <m/>
    <m/>
  </r>
  <r>
    <x v="11"/>
    <s v="Spartanburg Community College "/>
    <s v="Met the criteria for Two-year 1 in 2010-11."/>
    <n v="218830"/>
    <x v="7"/>
    <n v="131893"/>
    <n v="140025"/>
    <n v="111530"/>
    <n v="114546"/>
    <n v="5054"/>
    <n v="5936"/>
    <n v="15267"/>
    <n v="42"/>
    <m/>
    <n v="19534"/>
    <n v="9"/>
    <m/>
    <m/>
    <m/>
    <n v="0"/>
    <n v="0"/>
    <m/>
    <m/>
    <m/>
    <m/>
    <m/>
    <m/>
    <m/>
    <m/>
    <m/>
    <m/>
    <m/>
    <m/>
  </r>
  <r>
    <x v="11"/>
    <s v="Tri-County Technical College "/>
    <s v="Met the criteria for Two-year 1 in 2009-10 and 2010-11."/>
    <n v="218885"/>
    <x v="7"/>
    <n v="161982"/>
    <n v="171851"/>
    <n v="133502"/>
    <n v="134614"/>
    <n v="5404"/>
    <n v="4608"/>
    <n v="23076"/>
    <m/>
    <m/>
    <n v="32629"/>
    <m/>
    <m/>
    <m/>
    <m/>
    <n v="0"/>
    <n v="0"/>
    <m/>
    <m/>
    <m/>
    <m/>
    <m/>
    <m/>
    <m/>
    <m/>
    <m/>
    <m/>
    <m/>
    <m/>
  </r>
  <r>
    <x v="11"/>
    <s v="York Technical College "/>
    <s v="Met the criteria for Two-year 1 in 2010-11."/>
    <n v="218991"/>
    <x v="7"/>
    <n v="138752"/>
    <n v="140960"/>
    <n v="92734"/>
    <n v="89627"/>
    <n v="9427"/>
    <n v="10099"/>
    <n v="26852"/>
    <n v="8998"/>
    <n v="741"/>
    <n v="32197"/>
    <n v="8657"/>
    <n v="380"/>
    <m/>
    <m/>
    <n v="0"/>
    <n v="0"/>
    <m/>
    <m/>
    <m/>
    <m/>
    <m/>
    <m/>
    <m/>
    <m/>
    <m/>
    <m/>
    <m/>
    <m/>
  </r>
  <r>
    <x v="11"/>
    <s v="Denmark Technical College "/>
    <m/>
    <n v="217989"/>
    <x v="8"/>
    <n v="38483"/>
    <n v="32782"/>
    <n v="30794"/>
    <n v="26294"/>
    <n v="1085"/>
    <n v="186"/>
    <n v="6604"/>
    <m/>
    <m/>
    <n v="6302"/>
    <m/>
    <m/>
    <m/>
    <m/>
    <n v="0"/>
    <n v="0"/>
    <m/>
    <m/>
    <m/>
    <m/>
    <m/>
    <m/>
    <m/>
    <m/>
    <m/>
    <m/>
    <m/>
    <m/>
  </r>
  <r>
    <x v="11"/>
    <s v="Northeastern Technical College "/>
    <m/>
    <n v="217837"/>
    <x v="8"/>
    <n v="27390"/>
    <n v="29287"/>
    <n v="21657"/>
    <n v="21072"/>
    <n v="337"/>
    <n v="672"/>
    <n v="2051"/>
    <n v="3345"/>
    <m/>
    <n v="3705"/>
    <n v="3838"/>
    <m/>
    <m/>
    <m/>
    <n v="0"/>
    <n v="0"/>
    <m/>
    <m/>
    <m/>
    <m/>
    <m/>
    <m/>
    <m/>
    <m/>
    <m/>
    <m/>
    <m/>
    <m/>
  </r>
  <r>
    <x v="11"/>
    <s v="Technical College of the Lowcountry"/>
    <m/>
    <n v="217712"/>
    <x v="8"/>
    <n v="55053"/>
    <n v="60944"/>
    <n v="41399"/>
    <n v="44542"/>
    <n v="550"/>
    <n v="346"/>
    <n v="9662"/>
    <n v="1405"/>
    <n v="2037"/>
    <n v="12243"/>
    <n v="3813"/>
    <m/>
    <m/>
    <m/>
    <n v="0"/>
    <n v="0"/>
    <m/>
    <m/>
    <m/>
    <m/>
    <m/>
    <m/>
    <m/>
    <m/>
    <m/>
    <m/>
    <m/>
    <m/>
  </r>
  <r>
    <x v="11"/>
    <s v="University of South Carolina-Lancaster"/>
    <m/>
    <n v="218672"/>
    <x v="8"/>
    <n v="31947"/>
    <n v="34947"/>
    <n v="31585"/>
    <n v="34646"/>
    <n v="362"/>
    <n v="301"/>
    <m/>
    <m/>
    <m/>
    <n v="0"/>
    <m/>
    <m/>
    <m/>
    <m/>
    <n v="0"/>
    <n v="0"/>
    <m/>
    <m/>
    <m/>
    <m/>
    <m/>
    <m/>
    <m/>
    <m/>
    <m/>
    <m/>
    <m/>
    <m/>
  </r>
  <r>
    <x v="11"/>
    <s v="University of South Carolina-Salkehatchie"/>
    <m/>
    <n v="218681"/>
    <x v="8"/>
    <n v="18664"/>
    <n v="21981"/>
    <n v="18664"/>
    <n v="21981"/>
    <m/>
    <n v="0"/>
    <m/>
    <m/>
    <m/>
    <n v="0"/>
    <m/>
    <m/>
    <m/>
    <m/>
    <n v="0"/>
    <n v="0"/>
    <m/>
    <m/>
    <m/>
    <m/>
    <m/>
    <m/>
    <m/>
    <m/>
    <m/>
    <m/>
    <m/>
    <m/>
  </r>
  <r>
    <x v="11"/>
    <s v="University of South Carolina-Sumter"/>
    <m/>
    <n v="218690"/>
    <x v="8"/>
    <n v="26074"/>
    <n v="26375"/>
    <n v="22539"/>
    <n v="22605"/>
    <n v="3535"/>
    <n v="3500"/>
    <m/>
    <m/>
    <m/>
    <n v="270"/>
    <m/>
    <m/>
    <m/>
    <m/>
    <n v="0"/>
    <n v="0"/>
    <m/>
    <m/>
    <m/>
    <m/>
    <m/>
    <m/>
    <m/>
    <m/>
    <m/>
    <m/>
    <m/>
    <m/>
  </r>
  <r>
    <x v="11"/>
    <s v="University of South Carolina-Union"/>
    <m/>
    <n v="218706"/>
    <x v="8"/>
    <n v="9376"/>
    <n v="10674"/>
    <n v="7870"/>
    <n v="9332"/>
    <n v="1506"/>
    <n v="1342"/>
    <m/>
    <m/>
    <m/>
    <n v="0"/>
    <m/>
    <m/>
    <m/>
    <m/>
    <n v="0"/>
    <n v="0"/>
    <m/>
    <m/>
    <m/>
    <m/>
    <m/>
    <m/>
    <m/>
    <m/>
    <m/>
    <m/>
    <m/>
    <m/>
  </r>
  <r>
    <x v="11"/>
    <s v="Willamsburg Technical College "/>
    <m/>
    <n v="218955"/>
    <x v="8"/>
    <n v="16855"/>
    <n v="18866"/>
    <n v="16224"/>
    <n v="18524"/>
    <n v="354"/>
    <n v="220"/>
    <n v="277"/>
    <m/>
    <m/>
    <n v="122"/>
    <m/>
    <m/>
    <m/>
    <m/>
    <n v="0"/>
    <n v="0"/>
    <m/>
    <m/>
    <m/>
    <m/>
    <m/>
    <m/>
    <m/>
    <m/>
    <m/>
    <m/>
    <m/>
    <m/>
  </r>
  <r>
    <x v="12"/>
    <s v="University of Memphis"/>
    <m/>
    <n v="220862"/>
    <x v="0"/>
    <n v="415795"/>
    <n v="422576"/>
    <n v="357670"/>
    <n v="351866"/>
    <n v="9510"/>
    <n v="7800"/>
    <n v="33853"/>
    <n v="795"/>
    <n v="10879"/>
    <n v="42851"/>
    <n v="368"/>
    <n v="16665"/>
    <n v="3088"/>
    <n v="3026"/>
    <n v="81557"/>
    <n v="83230"/>
    <n v="53213"/>
    <n v="55321"/>
    <n v="9593"/>
    <n v="10152"/>
    <n v="9501"/>
    <n v="150"/>
    <n v="3248"/>
    <n v="10405"/>
    <n v="51"/>
    <n v="1662"/>
    <n v="5852"/>
    <n v="5639"/>
  </r>
  <r>
    <x v="12"/>
    <s v="University of Tennessee, Knoxville"/>
    <m/>
    <n v="221759"/>
    <x v="0"/>
    <n v="614720"/>
    <n v="567964"/>
    <n v="526893"/>
    <n v="487661"/>
    <n v="300"/>
    <n v="969"/>
    <n v="637"/>
    <n v="892"/>
    <n v="85998"/>
    <n v="72"/>
    <n v="792"/>
    <n v="78219"/>
    <n v="0"/>
    <n v="251"/>
    <n v="121122"/>
    <n v="129472"/>
    <n v="100617"/>
    <n v="109147"/>
    <n v="1490"/>
    <n v="1267"/>
    <n v="8954"/>
    <n v="72"/>
    <n v="9629"/>
    <n v="6803"/>
    <n v="75"/>
    <n v="11855"/>
    <n v="360"/>
    <n v="325"/>
  </r>
  <r>
    <x v="12"/>
    <s v="East Tennessee State University "/>
    <m/>
    <n v="220075"/>
    <x v="2"/>
    <n v="309598"/>
    <n v="315496"/>
    <n v="237409"/>
    <n v="239142"/>
    <n v="12553"/>
    <n v="9334"/>
    <n v="33437"/>
    <n v="9733"/>
    <n v="14475"/>
    <n v="40456"/>
    <n v="9831"/>
    <n v="14290"/>
    <n v="1991"/>
    <n v="2443"/>
    <n v="42807"/>
    <n v="41178"/>
    <n v="22533"/>
    <n v="24434"/>
    <n v="4913"/>
    <n v="5183"/>
    <n v="10123"/>
    <n v="359"/>
    <n v="1937"/>
    <n v="8135"/>
    <n v="102"/>
    <n v="1622"/>
    <n v="2942"/>
    <n v="1702"/>
  </r>
  <r>
    <x v="12"/>
    <s v="Middle Tennessee State University "/>
    <m/>
    <n v="220978"/>
    <x v="2"/>
    <n v="592584"/>
    <n v="618769"/>
    <n v="516575"/>
    <n v="530431"/>
    <n v="10076"/>
    <n v="10051"/>
    <n v="35805"/>
    <n v="2790"/>
    <n v="23077"/>
    <n v="48763"/>
    <n v="2748"/>
    <n v="22415"/>
    <n v="4261"/>
    <n v="4361"/>
    <n v="45506"/>
    <n v="41595"/>
    <n v="31523"/>
    <n v="28178"/>
    <n v="2459"/>
    <n v="2342"/>
    <n v="7098"/>
    <n v="366"/>
    <n v="1025"/>
    <n v="5425"/>
    <n v="379"/>
    <n v="2190"/>
    <n v="3035"/>
    <n v="3081"/>
  </r>
  <r>
    <x v="12"/>
    <s v="Tennessee State University "/>
    <s v="Met the criteria for Four-Year 2 in 2009-10 and 2010-11."/>
    <n v="221838"/>
    <x v="2"/>
    <n v="177784"/>
    <n v="182408"/>
    <n v="163180"/>
    <n v="154263"/>
    <n v="2625"/>
    <n v="14260"/>
    <n v="10549"/>
    <n v="318"/>
    <n v="700"/>
    <n v="12537"/>
    <n v="171"/>
    <n v="671"/>
    <n v="412"/>
    <n v="506"/>
    <n v="32979"/>
    <n v="32856"/>
    <n v="24981"/>
    <n v="26392"/>
    <n v="1682"/>
    <n v="1487"/>
    <n v="3256"/>
    <n v="0"/>
    <n v="141"/>
    <n v="1835"/>
    <n v="0"/>
    <n v="140"/>
    <n v="2919"/>
    <n v="3002"/>
  </r>
  <r>
    <x v="12"/>
    <s v="Tennessee Technological University "/>
    <m/>
    <n v="221847"/>
    <x v="2"/>
    <n v="235979"/>
    <n v="260418"/>
    <n v="205463"/>
    <n v="219607"/>
    <n v="5804"/>
    <n v="14260"/>
    <n v="13663"/>
    <m/>
    <n v="8403"/>
    <n v="15262"/>
    <m/>
    <n v="8189"/>
    <n v="2646"/>
    <n v="3100"/>
    <n v="29118"/>
    <n v="30181"/>
    <n v="12260"/>
    <n v="18854"/>
    <n v="1629"/>
    <n v="2014"/>
    <n v="10746"/>
    <n v="0"/>
    <n v="1516"/>
    <n v="5845"/>
    <n v="42"/>
    <n v="467"/>
    <n v="2967"/>
    <n v="2959"/>
  </r>
  <r>
    <x v="12"/>
    <s v="University of Tennessee at Chattanooga"/>
    <m/>
    <n v="221740"/>
    <x v="2"/>
    <n v="240192"/>
    <n v="241728"/>
    <n v="229957"/>
    <n v="234753"/>
    <n v="4310"/>
    <n v="1096"/>
    <n v="4405"/>
    <n v="0"/>
    <n v="105"/>
    <n v="4710"/>
    <n v="0"/>
    <n v="0"/>
    <n v="1415"/>
    <n v="1169"/>
    <n v="26863"/>
    <n v="25246"/>
    <n v="19384"/>
    <n v="19214"/>
    <n v="2399"/>
    <n v="2173"/>
    <n v="2855"/>
    <n v="304"/>
    <n v="2"/>
    <n v="2317"/>
    <n v="318"/>
    <n v="0"/>
    <n v="1919"/>
    <n v="1224"/>
  </r>
  <r>
    <x v="12"/>
    <s v="Austin Peay State University "/>
    <s v="Reclassified: met the criteria for Four-Year 3 in 2008-09, 2009-10 and 2010-11."/>
    <n v="219602"/>
    <x v="2"/>
    <n v="222816"/>
    <n v="231958"/>
    <n v="162477"/>
    <n v="154611"/>
    <n v="1412"/>
    <n v="15145"/>
    <n v="55784"/>
    <n v="0"/>
    <n v="2263"/>
    <n v="59191"/>
    <n v="0"/>
    <n v="2411"/>
    <n v="880"/>
    <n v="600"/>
    <n v="13533"/>
    <n v="13956"/>
    <n v="5492"/>
    <n v="6356"/>
    <n v="532"/>
    <n v="496"/>
    <n v="7189"/>
    <n v="0"/>
    <n v="1"/>
    <n v="6932"/>
    <n v="0"/>
    <n v="55"/>
    <n v="319"/>
    <n v="117"/>
  </r>
  <r>
    <x v="12"/>
    <s v="University of Tennessee at Martin"/>
    <m/>
    <n v="221768"/>
    <x v="4"/>
    <n v="193747"/>
    <n v="189533"/>
    <n v="181964"/>
    <n v="176444"/>
    <n v="2111"/>
    <n v="1324"/>
    <n v="7473"/>
    <n v="1989"/>
    <n v="21"/>
    <n v="8351"/>
    <n v="3191"/>
    <n v="51"/>
    <n v="189"/>
    <n v="172"/>
    <n v="7808"/>
    <n v="6675"/>
    <n v="2527"/>
    <n v="2726"/>
    <n v="61"/>
    <n v="53"/>
    <n v="5093"/>
    <n v="111"/>
    <n v="0"/>
    <n v="3337"/>
    <n v="559"/>
    <n v="0"/>
    <n v="16"/>
    <n v="0"/>
  </r>
  <r>
    <x v="12"/>
    <s v="Chattanooga State Technical Community College "/>
    <m/>
    <n v="219824"/>
    <x v="6"/>
    <n v="182926"/>
    <n v="206006"/>
    <n v="134909"/>
    <n v="126190"/>
    <n v="1697"/>
    <n v="9093"/>
    <n v="32283"/>
    <n v="0"/>
    <n v="13773"/>
    <n v="40317"/>
    <n v="0"/>
    <n v="30134"/>
    <n v="264"/>
    <n v="272"/>
    <n v="0"/>
    <n v="0"/>
    <m/>
    <m/>
    <m/>
    <m/>
    <m/>
    <m/>
    <m/>
    <m/>
    <m/>
    <m/>
    <m/>
    <m/>
  </r>
  <r>
    <x v="12"/>
    <s v="Pellissippi State Technical Community College"/>
    <m/>
    <n v="221643"/>
    <x v="6"/>
    <n v="202757"/>
    <n v="226193"/>
    <n v="170920"/>
    <n v="164209"/>
    <n v="652"/>
    <n v="28803"/>
    <n v="25712"/>
    <n v="1055"/>
    <n v="4145"/>
    <n v="27318"/>
    <n v="1367"/>
    <n v="4323"/>
    <n v="273"/>
    <n v="173"/>
    <n v="0"/>
    <n v="0"/>
    <m/>
    <m/>
    <m/>
    <m/>
    <m/>
    <m/>
    <m/>
    <m/>
    <m/>
    <m/>
    <m/>
    <m/>
  </r>
  <r>
    <x v="12"/>
    <s v="Southwest Tennessee Community College"/>
    <m/>
    <n v="221485"/>
    <x v="6"/>
    <n v="267602"/>
    <n v="285351"/>
    <n v="226729"/>
    <n v="240506"/>
    <n v="3754"/>
    <n v="1090"/>
    <n v="22478"/>
    <n v="4020"/>
    <n v="10528"/>
    <n v="27381"/>
    <n v="3855"/>
    <n v="12415"/>
    <n v="93"/>
    <n v="104"/>
    <n v="0"/>
    <n v="0"/>
    <m/>
    <m/>
    <m/>
    <m/>
    <m/>
    <m/>
    <m/>
    <m/>
    <m/>
    <m/>
    <m/>
    <m/>
  </r>
  <r>
    <x v="12"/>
    <s v="Cleveland State Community College "/>
    <m/>
    <n v="219879"/>
    <x v="7"/>
    <n v="73904"/>
    <n v="77183"/>
    <n v="55102"/>
    <n v="53523"/>
    <n v="3910"/>
    <n v="6649"/>
    <n v="8576"/>
    <n v="2047"/>
    <n v="2691"/>
    <n v="10044"/>
    <n v="957"/>
    <n v="4650"/>
    <n v="1578"/>
    <n v="1360"/>
    <n v="0"/>
    <n v="0"/>
    <m/>
    <m/>
    <m/>
    <m/>
    <m/>
    <m/>
    <m/>
    <m/>
    <m/>
    <m/>
    <m/>
    <m/>
  </r>
  <r>
    <x v="12"/>
    <s v="Columbia State Community College "/>
    <m/>
    <n v="219888"/>
    <x v="7"/>
    <n v="105321"/>
    <n v="112558"/>
    <n v="78204"/>
    <n v="75972"/>
    <n v="524"/>
    <n v="7395"/>
    <n v="13213"/>
    <n v="6700"/>
    <n v="6573"/>
    <n v="15625"/>
    <n v="6441"/>
    <n v="7018"/>
    <n v="107"/>
    <n v="107"/>
    <n v="0"/>
    <n v="0"/>
    <m/>
    <m/>
    <m/>
    <m/>
    <m/>
    <m/>
    <m/>
    <m/>
    <m/>
    <m/>
    <m/>
    <m/>
  </r>
  <r>
    <x v="12"/>
    <s v="Jackson State Community College "/>
    <m/>
    <n v="220400"/>
    <x v="7"/>
    <n v="102180"/>
    <n v="109536"/>
    <n v="63861"/>
    <n v="62450"/>
    <n v="1529"/>
    <n v="1232"/>
    <n v="21546"/>
    <n v="1586"/>
    <n v="13623"/>
    <n v="28762"/>
    <n v="4114"/>
    <n v="12771"/>
    <n v="35"/>
    <n v="207"/>
    <n v="0"/>
    <n v="0"/>
    <m/>
    <m/>
    <m/>
    <m/>
    <m/>
    <m/>
    <m/>
    <m/>
    <m/>
    <m/>
    <m/>
    <m/>
  </r>
  <r>
    <x v="12"/>
    <s v="Motlow State Community College "/>
    <m/>
    <n v="221096"/>
    <x v="7"/>
    <n v="99612"/>
    <n v="105775"/>
    <n v="80499"/>
    <n v="81533"/>
    <n v="14"/>
    <n v="3684"/>
    <n v="13303"/>
    <n v="5611"/>
    <n v="0"/>
    <n v="14923"/>
    <n v="5478"/>
    <n v="0"/>
    <n v="185"/>
    <n v="157"/>
    <n v="0"/>
    <n v="0"/>
    <m/>
    <m/>
    <m/>
    <m/>
    <m/>
    <m/>
    <m/>
    <m/>
    <m/>
    <m/>
    <m/>
    <m/>
  </r>
  <r>
    <x v="12"/>
    <s v="Nashville State Technical Community College"/>
    <s v="Met the criteria for Two-year 1 in 2009-10 and 2010-11."/>
    <n v="221184"/>
    <x v="7"/>
    <n v="165167"/>
    <n v="188287"/>
    <n v="129915"/>
    <n v="136317"/>
    <n v="87"/>
    <n v="9434"/>
    <n v="33442"/>
    <n v="0"/>
    <n v="1698"/>
    <n v="38987"/>
    <n v="0"/>
    <n v="3447"/>
    <n v="25"/>
    <n v="102"/>
    <n v="0"/>
    <n v="0"/>
    <m/>
    <m/>
    <m/>
    <m/>
    <m/>
    <m/>
    <m/>
    <m/>
    <m/>
    <m/>
    <m/>
    <m/>
  </r>
  <r>
    <x v="12"/>
    <s v="Northeast State Technical Community College"/>
    <m/>
    <n v="221908"/>
    <x v="7"/>
    <n v="127736"/>
    <n v="141525"/>
    <n v="105256"/>
    <n v="108718"/>
    <n v="1688"/>
    <n v="9828"/>
    <n v="6531"/>
    <n v="3219"/>
    <n v="10996"/>
    <n v="7172"/>
    <n v="3606"/>
    <n v="12137"/>
    <n v="46"/>
    <n v="64"/>
    <n v="0"/>
    <n v="0"/>
    <m/>
    <m/>
    <m/>
    <m/>
    <m/>
    <m/>
    <m/>
    <m/>
    <m/>
    <m/>
    <m/>
    <m/>
  </r>
  <r>
    <x v="12"/>
    <s v="Roane State Community College "/>
    <m/>
    <n v="221397"/>
    <x v="7"/>
    <n v="124148"/>
    <n v="135080"/>
    <n v="92637"/>
    <n v="93396"/>
    <n v="1844"/>
    <n v="3473"/>
    <n v="19927"/>
    <n v="7496"/>
    <n v="2159"/>
    <n v="24860"/>
    <n v="8852"/>
    <n v="4397"/>
    <n v="85"/>
    <n v="102"/>
    <n v="0"/>
    <n v="0"/>
    <m/>
    <m/>
    <m/>
    <m/>
    <m/>
    <m/>
    <m/>
    <m/>
    <m/>
    <m/>
    <m/>
    <m/>
  </r>
  <r>
    <x v="12"/>
    <s v="Volunteer State Community College "/>
    <s v="Met the criteria for Two-Year 1 in 2009-10 and 2010-11."/>
    <n v="222053"/>
    <x v="7"/>
    <n v="165237"/>
    <n v="177755"/>
    <n v="119517"/>
    <n v="124494"/>
    <n v="6508"/>
    <n v="4641"/>
    <n v="31168"/>
    <n v="743"/>
    <n v="7055"/>
    <n v="39394"/>
    <n v="343"/>
    <n v="8452"/>
    <n v="246"/>
    <n v="431"/>
    <n v="0"/>
    <n v="0"/>
    <m/>
    <m/>
    <m/>
    <m/>
    <m/>
    <m/>
    <m/>
    <m/>
    <m/>
    <m/>
    <m/>
    <m/>
  </r>
  <r>
    <x v="12"/>
    <s v="Walters State Community College "/>
    <m/>
    <n v="222062"/>
    <x v="7"/>
    <n v="140252"/>
    <n v="147715"/>
    <n v="106090"/>
    <n v="107742"/>
    <n v="781"/>
    <n v="8269"/>
    <n v="13654"/>
    <n v="7083"/>
    <n v="12636"/>
    <n v="16078"/>
    <n v="4026"/>
    <n v="11586"/>
    <n v="8"/>
    <n v="14"/>
    <n v="0"/>
    <n v="0"/>
    <m/>
    <m/>
    <m/>
    <m/>
    <m/>
    <m/>
    <m/>
    <m/>
    <m/>
    <m/>
    <m/>
    <m/>
  </r>
  <r>
    <x v="12"/>
    <s v="Dyersburg State Community College "/>
    <s v="Met the criteria for Two-Year 2 in 2009-10 and 2010-11."/>
    <n v="220057"/>
    <x v="8"/>
    <n v="61785"/>
    <n v="72924"/>
    <n v="49145"/>
    <n v="47414"/>
    <n v="476"/>
    <n v="8655"/>
    <n v="5962"/>
    <n v="21"/>
    <n v="5959"/>
    <n v="7543"/>
    <n v="961"/>
    <n v="8061"/>
    <n v="222"/>
    <n v="290"/>
    <n v="0"/>
    <n v="0"/>
    <m/>
    <m/>
    <m/>
    <m/>
    <m/>
    <m/>
    <m/>
    <m/>
    <m/>
    <m/>
    <m/>
    <m/>
  </r>
  <r>
    <x v="12"/>
    <s v="Tennessee Technology Center at Athens"/>
    <m/>
    <n v="219596"/>
    <x v="10"/>
    <n v="265960"/>
    <n v="0"/>
    <n v="265960"/>
    <m/>
    <m/>
    <m/>
    <m/>
    <m/>
    <m/>
    <m/>
    <m/>
    <m/>
    <m/>
    <m/>
    <n v="0"/>
    <n v="0"/>
    <m/>
    <m/>
    <m/>
    <m/>
    <m/>
    <m/>
    <m/>
    <m/>
    <m/>
    <m/>
    <m/>
    <m/>
  </r>
  <r>
    <x v="12"/>
    <s v="Tennessee Technology Center at Chattanooga"/>
    <s v="Met the criteria for Technical Institute or College 1 in 2010-11."/>
    <s v="219824B"/>
    <x v="10"/>
    <n v="930245"/>
    <n v="0"/>
    <n v="930245"/>
    <m/>
    <m/>
    <m/>
    <m/>
    <m/>
    <m/>
    <m/>
    <m/>
    <m/>
    <m/>
    <m/>
    <n v="0"/>
    <n v="0"/>
    <m/>
    <m/>
    <m/>
    <m/>
    <m/>
    <m/>
    <m/>
    <m/>
    <m/>
    <m/>
    <m/>
    <m/>
  </r>
  <r>
    <x v="12"/>
    <s v="Tennessee Technology Center at Covington"/>
    <m/>
    <n v="219921"/>
    <x v="10"/>
    <n v="189725"/>
    <n v="0"/>
    <n v="189725"/>
    <m/>
    <m/>
    <m/>
    <m/>
    <m/>
    <m/>
    <m/>
    <m/>
    <m/>
    <m/>
    <m/>
    <n v="0"/>
    <n v="0"/>
    <m/>
    <m/>
    <m/>
    <m/>
    <m/>
    <m/>
    <m/>
    <m/>
    <m/>
    <m/>
    <m/>
    <m/>
  </r>
  <r>
    <x v="12"/>
    <s v="Tennessee Technology Center at Crossville"/>
    <m/>
    <n v="221591"/>
    <x v="10"/>
    <n v="429175"/>
    <n v="0"/>
    <n v="429175"/>
    <m/>
    <m/>
    <m/>
    <m/>
    <m/>
    <m/>
    <m/>
    <m/>
    <m/>
    <m/>
    <m/>
    <n v="0"/>
    <n v="0"/>
    <m/>
    <m/>
    <m/>
    <m/>
    <m/>
    <m/>
    <m/>
    <m/>
    <m/>
    <m/>
    <m/>
    <m/>
  </r>
  <r>
    <x v="12"/>
    <s v="Tennessee Technology Center at Crump"/>
    <m/>
    <n v="221430"/>
    <x v="10"/>
    <n v="270260"/>
    <n v="0"/>
    <n v="270260"/>
    <m/>
    <m/>
    <m/>
    <m/>
    <m/>
    <m/>
    <m/>
    <m/>
    <m/>
    <m/>
    <m/>
    <n v="0"/>
    <n v="0"/>
    <m/>
    <m/>
    <m/>
    <m/>
    <m/>
    <m/>
    <m/>
    <m/>
    <m/>
    <m/>
    <m/>
    <m/>
  </r>
  <r>
    <x v="12"/>
    <s v="Tennessee Technology Center at Dickson"/>
    <m/>
    <n v="219994"/>
    <x v="10"/>
    <n v="522444"/>
    <n v="0"/>
    <n v="522444"/>
    <m/>
    <m/>
    <m/>
    <m/>
    <m/>
    <m/>
    <m/>
    <m/>
    <m/>
    <m/>
    <m/>
    <n v="0"/>
    <n v="0"/>
    <m/>
    <m/>
    <m/>
    <m/>
    <m/>
    <m/>
    <m/>
    <m/>
    <m/>
    <m/>
    <m/>
    <m/>
  </r>
  <r>
    <x v="12"/>
    <s v="Tennessee Technology Center at Elizabethton"/>
    <m/>
    <n v="220127"/>
    <x v="10"/>
    <n v="499957"/>
    <n v="0"/>
    <n v="499957"/>
    <m/>
    <m/>
    <m/>
    <m/>
    <m/>
    <m/>
    <m/>
    <m/>
    <m/>
    <m/>
    <m/>
    <n v="0"/>
    <n v="0"/>
    <m/>
    <m/>
    <m/>
    <m/>
    <m/>
    <m/>
    <m/>
    <m/>
    <m/>
    <m/>
    <m/>
    <m/>
  </r>
  <r>
    <x v="12"/>
    <s v="Tennessee Technology Center at Harriman"/>
    <m/>
    <n v="220251"/>
    <x v="10"/>
    <n v="294989"/>
    <n v="0"/>
    <n v="294989"/>
    <m/>
    <m/>
    <m/>
    <m/>
    <m/>
    <m/>
    <m/>
    <m/>
    <m/>
    <m/>
    <m/>
    <n v="0"/>
    <n v="0"/>
    <m/>
    <m/>
    <m/>
    <m/>
    <m/>
    <m/>
    <m/>
    <m/>
    <m/>
    <m/>
    <m/>
    <m/>
  </r>
  <r>
    <x v="12"/>
    <s v="Tennessee Technology Center at Hartsville"/>
    <m/>
    <n v="220279"/>
    <x v="10"/>
    <n v="383343"/>
    <n v="0"/>
    <n v="383343"/>
    <m/>
    <m/>
    <m/>
    <m/>
    <m/>
    <m/>
    <m/>
    <m/>
    <m/>
    <m/>
    <m/>
    <n v="0"/>
    <n v="0"/>
    <m/>
    <m/>
    <m/>
    <m/>
    <m/>
    <m/>
    <m/>
    <m/>
    <m/>
    <m/>
    <m/>
    <m/>
  </r>
  <r>
    <x v="12"/>
    <s v="Tennessee Technology Center at Hohenwald"/>
    <m/>
    <n v="220321"/>
    <x v="10"/>
    <n v="442185"/>
    <n v="0"/>
    <n v="442185"/>
    <m/>
    <m/>
    <m/>
    <m/>
    <m/>
    <m/>
    <m/>
    <m/>
    <m/>
    <m/>
    <m/>
    <n v="0"/>
    <n v="0"/>
    <m/>
    <m/>
    <m/>
    <m/>
    <m/>
    <m/>
    <m/>
    <m/>
    <m/>
    <m/>
    <m/>
    <m/>
  </r>
  <r>
    <x v="12"/>
    <s v="Tennessee Technology Center at Jacksboro"/>
    <m/>
    <n v="220394"/>
    <x v="10"/>
    <n v="203208"/>
    <n v="0"/>
    <n v="203208"/>
    <m/>
    <m/>
    <m/>
    <m/>
    <m/>
    <m/>
    <m/>
    <m/>
    <m/>
    <m/>
    <m/>
    <n v="0"/>
    <n v="0"/>
    <m/>
    <m/>
    <m/>
    <m/>
    <m/>
    <m/>
    <m/>
    <m/>
    <m/>
    <m/>
    <m/>
    <m/>
  </r>
  <r>
    <x v="12"/>
    <s v="Tennessee Technology Center at Jackson"/>
    <m/>
    <n v="221616"/>
    <x v="10"/>
    <n v="617038"/>
    <n v="0"/>
    <n v="617038"/>
    <m/>
    <m/>
    <m/>
    <m/>
    <m/>
    <m/>
    <m/>
    <m/>
    <m/>
    <m/>
    <m/>
    <n v="0"/>
    <n v="0"/>
    <m/>
    <m/>
    <m/>
    <m/>
    <m/>
    <m/>
    <m/>
    <m/>
    <m/>
    <m/>
    <m/>
    <m/>
  </r>
  <r>
    <x v="12"/>
    <s v="Tennessee Technology Center at Knoxville"/>
    <m/>
    <n v="221625"/>
    <x v="10"/>
    <n v="689994"/>
    <n v="0"/>
    <n v="689994"/>
    <m/>
    <m/>
    <m/>
    <m/>
    <m/>
    <m/>
    <m/>
    <m/>
    <m/>
    <m/>
    <m/>
    <n v="0"/>
    <n v="0"/>
    <m/>
    <m/>
    <m/>
    <m/>
    <m/>
    <m/>
    <m/>
    <m/>
    <m/>
    <m/>
    <m/>
    <m/>
  </r>
  <r>
    <x v="12"/>
    <s v="Tennessee Technology Center at Livingston"/>
    <m/>
    <n v="220640"/>
    <x v="10"/>
    <n v="432806"/>
    <n v="0"/>
    <n v="432806"/>
    <m/>
    <m/>
    <m/>
    <m/>
    <m/>
    <m/>
    <m/>
    <m/>
    <m/>
    <m/>
    <m/>
    <n v="0"/>
    <n v="0"/>
    <m/>
    <m/>
    <m/>
    <m/>
    <m/>
    <m/>
    <m/>
    <m/>
    <m/>
    <m/>
    <m/>
    <m/>
  </r>
  <r>
    <x v="12"/>
    <s v="Tennessee Technology Center at McKenzie"/>
    <m/>
    <n v="220756"/>
    <x v="10"/>
    <n v="300489"/>
    <n v="0"/>
    <n v="300489"/>
    <m/>
    <m/>
    <m/>
    <m/>
    <m/>
    <m/>
    <m/>
    <m/>
    <m/>
    <m/>
    <m/>
    <n v="0"/>
    <n v="0"/>
    <m/>
    <m/>
    <m/>
    <m/>
    <m/>
    <m/>
    <m/>
    <m/>
    <m/>
    <m/>
    <m/>
    <m/>
  </r>
  <r>
    <x v="12"/>
    <s v="Tennessee Technology Center at McMinnville"/>
    <m/>
    <n v="221607"/>
    <x v="10"/>
    <n v="303262"/>
    <n v="0"/>
    <n v="303262"/>
    <m/>
    <m/>
    <m/>
    <m/>
    <m/>
    <m/>
    <m/>
    <m/>
    <m/>
    <m/>
    <m/>
    <n v="0"/>
    <n v="0"/>
    <m/>
    <m/>
    <m/>
    <m/>
    <m/>
    <m/>
    <m/>
    <m/>
    <m/>
    <m/>
    <m/>
    <m/>
  </r>
  <r>
    <x v="12"/>
    <s v="Tennessee Technology Center at Memphis"/>
    <m/>
    <n v="220853"/>
    <x v="10"/>
    <n v="735462"/>
    <n v="0"/>
    <n v="735462"/>
    <m/>
    <m/>
    <m/>
    <m/>
    <m/>
    <m/>
    <m/>
    <m/>
    <m/>
    <m/>
    <m/>
    <n v="0"/>
    <n v="0"/>
    <m/>
    <m/>
    <m/>
    <m/>
    <m/>
    <m/>
    <m/>
    <m/>
    <m/>
    <m/>
    <m/>
    <m/>
  </r>
  <r>
    <x v="12"/>
    <s v="Tennessee Technology Center at Morristown"/>
    <m/>
    <n v="221050"/>
    <x v="10"/>
    <n v="634754"/>
    <n v="0"/>
    <n v="634754"/>
    <m/>
    <m/>
    <m/>
    <m/>
    <m/>
    <m/>
    <m/>
    <m/>
    <m/>
    <m/>
    <m/>
    <n v="0"/>
    <n v="0"/>
    <m/>
    <m/>
    <m/>
    <m/>
    <m/>
    <m/>
    <m/>
    <m/>
    <m/>
    <m/>
    <m/>
    <m/>
  </r>
  <r>
    <x v="12"/>
    <s v="Tennessee Technology Center at Murfreesboro"/>
    <m/>
    <n v="221102"/>
    <x v="10"/>
    <n v="433419"/>
    <n v="0"/>
    <n v="433419"/>
    <m/>
    <m/>
    <m/>
    <m/>
    <m/>
    <m/>
    <m/>
    <m/>
    <m/>
    <m/>
    <m/>
    <n v="0"/>
    <n v="0"/>
    <m/>
    <m/>
    <m/>
    <m/>
    <m/>
    <m/>
    <m/>
    <m/>
    <m/>
    <m/>
    <m/>
    <m/>
  </r>
  <r>
    <x v="12"/>
    <s v="Tennessee Technology Center at Nashville"/>
    <m/>
    <n v="248925"/>
    <x v="10"/>
    <n v="660841"/>
    <n v="0"/>
    <n v="660841"/>
    <m/>
    <m/>
    <m/>
    <m/>
    <m/>
    <m/>
    <m/>
    <m/>
    <m/>
    <m/>
    <m/>
    <n v="0"/>
    <n v="0"/>
    <m/>
    <m/>
    <m/>
    <m/>
    <m/>
    <m/>
    <m/>
    <m/>
    <m/>
    <m/>
    <m/>
    <m/>
  </r>
  <r>
    <x v="12"/>
    <s v="Tennessee Technology Center at Newbern"/>
    <m/>
    <n v="221236"/>
    <x v="10"/>
    <n v="275708"/>
    <n v="0"/>
    <n v="275708"/>
    <m/>
    <m/>
    <m/>
    <m/>
    <m/>
    <m/>
    <m/>
    <m/>
    <m/>
    <m/>
    <m/>
    <n v="0"/>
    <n v="0"/>
    <m/>
    <m/>
    <m/>
    <m/>
    <m/>
    <m/>
    <m/>
    <m/>
    <m/>
    <m/>
    <m/>
    <m/>
  </r>
  <r>
    <x v="12"/>
    <s v="Tennessee Technology Center at Oneida"/>
    <m/>
    <n v="221582"/>
    <x v="10"/>
    <n v="300534"/>
    <n v="0"/>
    <n v="300534"/>
    <m/>
    <m/>
    <m/>
    <m/>
    <m/>
    <m/>
    <m/>
    <m/>
    <m/>
    <m/>
    <m/>
    <n v="0"/>
    <n v="0"/>
    <m/>
    <m/>
    <m/>
    <m/>
    <m/>
    <m/>
    <m/>
    <m/>
    <m/>
    <m/>
    <m/>
    <m/>
  </r>
  <r>
    <x v="12"/>
    <s v="Tennessee Technology Center at Paris"/>
    <m/>
    <n v="221281"/>
    <x v="10"/>
    <n v="345687"/>
    <n v="0"/>
    <n v="345687"/>
    <m/>
    <m/>
    <m/>
    <m/>
    <m/>
    <m/>
    <m/>
    <m/>
    <m/>
    <m/>
    <m/>
    <n v="0"/>
    <n v="0"/>
    <m/>
    <m/>
    <m/>
    <m/>
    <m/>
    <m/>
    <m/>
    <m/>
    <m/>
    <m/>
    <m/>
    <m/>
  </r>
  <r>
    <x v="12"/>
    <s v="Tennessee Technology Center at Pulaski"/>
    <m/>
    <n v="221333"/>
    <x v="10"/>
    <n v="425190"/>
    <n v="0"/>
    <n v="425190"/>
    <m/>
    <m/>
    <m/>
    <m/>
    <m/>
    <m/>
    <m/>
    <m/>
    <m/>
    <m/>
    <m/>
    <n v="0"/>
    <n v="0"/>
    <m/>
    <m/>
    <m/>
    <m/>
    <m/>
    <m/>
    <m/>
    <m/>
    <m/>
    <m/>
    <m/>
    <m/>
  </r>
  <r>
    <x v="12"/>
    <s v="Tennessee Technology Center at Ripley"/>
    <m/>
    <n v="221388"/>
    <x v="10"/>
    <n v="204305"/>
    <n v="0"/>
    <n v="204305"/>
    <m/>
    <m/>
    <m/>
    <m/>
    <m/>
    <m/>
    <m/>
    <m/>
    <m/>
    <m/>
    <m/>
    <n v="0"/>
    <n v="0"/>
    <m/>
    <m/>
    <m/>
    <m/>
    <m/>
    <m/>
    <m/>
    <m/>
    <m/>
    <m/>
    <m/>
    <m/>
  </r>
  <r>
    <x v="12"/>
    <s v="Tennessee Technology Center at Shelbyville"/>
    <m/>
    <n v="221494"/>
    <x v="10"/>
    <n v="572290"/>
    <n v="0"/>
    <n v="572290"/>
    <m/>
    <m/>
    <m/>
    <m/>
    <m/>
    <m/>
    <m/>
    <m/>
    <m/>
    <m/>
    <m/>
    <n v="0"/>
    <n v="0"/>
    <m/>
    <m/>
    <m/>
    <m/>
    <m/>
    <m/>
    <m/>
    <m/>
    <m/>
    <m/>
    <m/>
    <m/>
  </r>
  <r>
    <x v="12"/>
    <s v="Tennessee Technology Center at Whiteville"/>
    <m/>
    <n v="221634"/>
    <x v="10"/>
    <n v="190029"/>
    <n v="0"/>
    <n v="190029"/>
    <m/>
    <m/>
    <m/>
    <m/>
    <m/>
    <m/>
    <m/>
    <m/>
    <m/>
    <m/>
    <m/>
    <n v="0"/>
    <n v="0"/>
    <m/>
    <m/>
    <m/>
    <m/>
    <m/>
    <m/>
    <m/>
    <m/>
    <m/>
    <m/>
    <m/>
    <m/>
  </r>
  <r>
    <x v="13"/>
    <s v="Texas A &amp; M University "/>
    <m/>
    <n v="228723"/>
    <x v="0"/>
    <n v="1062336"/>
    <n v="1063598"/>
    <n v="1025839"/>
    <n v="1015216"/>
    <n v="4612"/>
    <n v="6032"/>
    <n v="31510"/>
    <n v="0"/>
    <n v="375"/>
    <n v="37071"/>
    <n v="20"/>
    <n v="5259"/>
    <m/>
    <m/>
    <n v="173168"/>
    <n v="177489"/>
    <n v="157828"/>
    <n v="156968"/>
    <n v="2739"/>
    <n v="2970"/>
    <n v="11692"/>
    <n v="525"/>
    <n v="384"/>
    <n v="12682"/>
    <n v="254"/>
    <n v="4615"/>
    <m/>
    <m/>
  </r>
  <r>
    <x v="13"/>
    <s v="Texas Tech University "/>
    <m/>
    <n v="229115"/>
    <x v="0"/>
    <n v="648835"/>
    <n v="689132"/>
    <n v="631272"/>
    <n v="660748"/>
    <n v="6079"/>
    <n v="7960"/>
    <n v="11484"/>
    <n v="0"/>
    <n v="0"/>
    <n v="20409"/>
    <n v="0"/>
    <n v="15"/>
    <m/>
    <m/>
    <n v="109769"/>
    <n v="118242"/>
    <n v="98506"/>
    <n v="100163"/>
    <n v="2164"/>
    <n v="2011"/>
    <n v="9076"/>
    <n v="15"/>
    <n v="8"/>
    <n v="16033"/>
    <n v="0"/>
    <n v="35"/>
    <m/>
    <m/>
  </r>
  <r>
    <x v="13"/>
    <s v="University of Houston"/>
    <m/>
    <n v="225511"/>
    <x v="0"/>
    <n v="707195"/>
    <n v="741538"/>
    <n v="583885"/>
    <n v="599157"/>
    <n v="4505"/>
    <n v="4531"/>
    <n v="80300"/>
    <n v="261"/>
    <n v="38244"/>
    <n v="116691"/>
    <n v="162"/>
    <n v="20997"/>
    <m/>
    <m/>
    <n v="168234"/>
    <n v="179542"/>
    <n v="159375"/>
    <n v="167445"/>
    <n v="1128"/>
    <n v="2727"/>
    <n v="6885"/>
    <n v="93"/>
    <n v="753"/>
    <n v="8511"/>
    <n v="69"/>
    <n v="790"/>
    <m/>
    <m/>
  </r>
  <r>
    <x v="13"/>
    <s v="University of North Texas"/>
    <m/>
    <n v="227216"/>
    <x v="0"/>
    <n v="736441"/>
    <n v="745337"/>
    <n v="652966"/>
    <n v="667691"/>
    <n v="17454"/>
    <n v="3640"/>
    <n v="65749"/>
    <n v="157"/>
    <n v="115"/>
    <n v="73940"/>
    <n v="12"/>
    <n v="54"/>
    <m/>
    <m/>
    <n v="105965"/>
    <n v="111147"/>
    <n v="67071"/>
    <n v="73085"/>
    <n v="6587"/>
    <n v="2617"/>
    <n v="31824"/>
    <n v="384"/>
    <n v="99"/>
    <n v="35250"/>
    <n v="168"/>
    <n v="27"/>
    <m/>
    <m/>
  </r>
  <r>
    <x v="13"/>
    <s v="University of Texas at Arlington"/>
    <m/>
    <n v="228769"/>
    <x v="0"/>
    <n v="492163"/>
    <n v="576495"/>
    <n v="454951"/>
    <n v="484110"/>
    <n v="3364"/>
    <n v="2509"/>
    <n v="29762"/>
    <n v="192"/>
    <n v="3894"/>
    <n v="86162"/>
    <n v="273"/>
    <n v="3441"/>
    <m/>
    <m/>
    <n v="101836"/>
    <n v="123024"/>
    <n v="80999"/>
    <n v="85072"/>
    <n v="10187"/>
    <n v="12060"/>
    <n v="9942"/>
    <n v="210"/>
    <n v="498"/>
    <n v="25089"/>
    <n v="108"/>
    <n v="695"/>
    <m/>
    <m/>
  </r>
  <r>
    <x v="13"/>
    <s v="University of Texas at Austin"/>
    <m/>
    <n v="228778"/>
    <x v="0"/>
    <n v="1028906"/>
    <n v="1037705"/>
    <n v="1024600"/>
    <n v="1032585"/>
    <n v="4306"/>
    <n v="5120"/>
    <n v="0"/>
    <n v="0"/>
    <n v="0"/>
    <n v="0"/>
    <n v="0"/>
    <n v="0"/>
    <m/>
    <m/>
    <n v="265480"/>
    <n v="268580"/>
    <n v="264575"/>
    <n v="268094"/>
    <n v="905"/>
    <n v="486"/>
    <n v="0"/>
    <n v="0"/>
    <n v="0"/>
    <n v="0"/>
    <n v="0"/>
    <n v="0"/>
    <m/>
    <m/>
  </r>
  <r>
    <x v="13"/>
    <s v="University of Texas at Dallas"/>
    <m/>
    <n v="228787"/>
    <x v="0"/>
    <n v="252709"/>
    <n v="268230"/>
    <n v="249794"/>
    <n v="261382"/>
    <n v="343"/>
    <n v="1221"/>
    <n v="2572"/>
    <n v="0"/>
    <n v="0"/>
    <n v="5606"/>
    <n v="21"/>
    <n v="0"/>
    <m/>
    <m/>
    <n v="99379"/>
    <n v="114444"/>
    <n v="87327"/>
    <n v="99432"/>
    <n v="235"/>
    <n v="468"/>
    <n v="11814"/>
    <n v="0"/>
    <n v="3"/>
    <n v="14544"/>
    <n v="0"/>
    <n v="0"/>
    <m/>
    <m/>
  </r>
  <r>
    <x v="13"/>
    <s v="Texas Woman's University"/>
    <s v="Met the criteria for Four-Year 1 in 2010-11."/>
    <n v="229179"/>
    <x v="1"/>
    <n v="196582"/>
    <n v="207868"/>
    <n v="152257"/>
    <n v="154155"/>
    <n v="2717"/>
    <n v="2978"/>
    <n v="41608"/>
    <n v="0"/>
    <n v="0"/>
    <n v="50615"/>
    <n v="60"/>
    <n v="60"/>
    <m/>
    <m/>
    <n v="91903"/>
    <n v="99837"/>
    <n v="47991"/>
    <n v="48747"/>
    <n v="1878"/>
    <n v="1944"/>
    <n v="41173"/>
    <n v="861"/>
    <n v="0"/>
    <n v="48680"/>
    <n v="466"/>
    <n v="0"/>
    <m/>
    <m/>
  </r>
  <r>
    <x v="13"/>
    <s v="University of Texas at El Paso"/>
    <m/>
    <n v="228796"/>
    <x v="1"/>
    <n v="414285"/>
    <n v="435923"/>
    <n v="400523"/>
    <n v="409500"/>
    <n v="3406"/>
    <n v="5130"/>
    <n v="10356"/>
    <n v="0"/>
    <n v="0"/>
    <n v="21293"/>
    <n v="0"/>
    <n v="0"/>
    <m/>
    <m/>
    <n v="55891"/>
    <n v="60139"/>
    <n v="43134"/>
    <n v="45393"/>
    <n v="3870"/>
    <n v="3106"/>
    <n v="8887"/>
    <n v="0"/>
    <n v="0"/>
    <n v="11640"/>
    <n v="0"/>
    <n v="0"/>
    <m/>
    <m/>
  </r>
  <r>
    <x v="13"/>
    <s v="University of Texas at San Antonio"/>
    <m/>
    <n v="229027"/>
    <x v="1"/>
    <n v="610982"/>
    <n v="631779"/>
    <n v="593018"/>
    <n v="612260"/>
    <n v="3014"/>
    <n v="2580"/>
    <n v="10822"/>
    <n v="4128"/>
    <n v="0"/>
    <n v="11230"/>
    <n v="5709"/>
    <n v="0"/>
    <m/>
    <m/>
    <n v="54987"/>
    <n v="63158"/>
    <n v="53316"/>
    <n v="61073"/>
    <n v="741"/>
    <n v="720"/>
    <n v="837"/>
    <n v="93"/>
    <n v="0"/>
    <n v="1212"/>
    <n v="153"/>
    <n v="0"/>
    <m/>
    <m/>
  </r>
  <r>
    <x v="13"/>
    <s v="Angelo State University"/>
    <m/>
    <n v="222831"/>
    <x v="2"/>
    <n v="145855"/>
    <n v="150284"/>
    <n v="140247"/>
    <n v="139059"/>
    <n v="0"/>
    <n v="0"/>
    <n v="5557"/>
    <n v="51"/>
    <n v="0"/>
    <n v="11225"/>
    <n v="0"/>
    <n v="0"/>
    <m/>
    <m/>
    <n v="9947"/>
    <n v="11853"/>
    <n v="6697"/>
    <n v="5210"/>
    <n v="0"/>
    <n v="0"/>
    <n v="3250"/>
    <n v="0"/>
    <n v="0"/>
    <n v="6643"/>
    <n v="0"/>
    <n v="0"/>
    <m/>
    <m/>
  </r>
  <r>
    <x v="13"/>
    <s v="Lamar University"/>
    <m/>
    <n v="226091"/>
    <x v="2"/>
    <n v="228464"/>
    <n v="232181"/>
    <n v="199702"/>
    <n v="197967"/>
    <n v="4062"/>
    <n v="4041"/>
    <n v="22371"/>
    <n v="2329"/>
    <n v="0"/>
    <n v="27213"/>
    <n v="2669"/>
    <n v="291"/>
    <m/>
    <m/>
    <n v="102152"/>
    <n v="98151"/>
    <n v="22121"/>
    <n v="22898"/>
    <n v="0"/>
    <n v="0"/>
    <n v="1482"/>
    <n v="0"/>
    <n v="78549"/>
    <n v="28495"/>
    <n v="330"/>
    <n v="46428"/>
    <m/>
    <m/>
  </r>
  <r>
    <x v="13"/>
    <s v="Midwestern State University"/>
    <m/>
    <n v="226833"/>
    <x v="2"/>
    <n v="139047"/>
    <n v="141792"/>
    <n v="121608"/>
    <n v="123522"/>
    <n v="2367"/>
    <n v="2623"/>
    <n v="15003"/>
    <n v="0"/>
    <n v="69"/>
    <n v="15647"/>
    <n v="0"/>
    <n v="0"/>
    <m/>
    <m/>
    <n v="8667"/>
    <n v="8356"/>
    <n v="6319"/>
    <n v="5894"/>
    <n v="84"/>
    <n v="108"/>
    <n v="2111"/>
    <n v="153"/>
    <n v="0"/>
    <n v="2312"/>
    <n v="42"/>
    <n v="0"/>
    <m/>
    <m/>
  </r>
  <r>
    <x v="13"/>
    <s v="Prairie View A &amp; M University"/>
    <m/>
    <n v="227526"/>
    <x v="2"/>
    <n v="172879"/>
    <n v="182890"/>
    <n v="162235"/>
    <n v="176738"/>
    <n v="9819"/>
    <n v="5360"/>
    <n v="825"/>
    <n v="0"/>
    <n v="0"/>
    <n v="792"/>
    <n v="0"/>
    <n v="0"/>
    <m/>
    <m/>
    <n v="33085"/>
    <n v="32482"/>
    <n v="24973"/>
    <n v="26648"/>
    <n v="4437"/>
    <n v="2042"/>
    <n v="3675"/>
    <n v="0"/>
    <n v="0"/>
    <n v="3792"/>
    <n v="0"/>
    <n v="0"/>
    <m/>
    <m/>
  </r>
  <r>
    <x v="13"/>
    <s v="Sam Houston State University "/>
    <m/>
    <n v="227881"/>
    <x v="2"/>
    <n v="398693"/>
    <n v="401035"/>
    <n v="373718"/>
    <n v="365223"/>
    <n v="19691"/>
    <n v="20939"/>
    <n v="5251"/>
    <n v="33"/>
    <n v="0"/>
    <n v="14873"/>
    <n v="0"/>
    <n v="0"/>
    <m/>
    <m/>
    <n v="35248"/>
    <n v="41725"/>
    <n v="14051"/>
    <n v="16059"/>
    <n v="7169"/>
    <n v="7237"/>
    <n v="13584"/>
    <n v="444"/>
    <n v="0"/>
    <n v="18357"/>
    <n v="72"/>
    <n v="0"/>
    <m/>
    <m/>
  </r>
  <r>
    <x v="13"/>
    <s v="Stephen F. Austin State University"/>
    <m/>
    <n v="228431"/>
    <x v="2"/>
    <n v="297592"/>
    <n v="304689"/>
    <n v="262121"/>
    <n v="265392"/>
    <n v="7063"/>
    <n v="3705"/>
    <n v="28246"/>
    <n v="162"/>
    <n v="0"/>
    <n v="32900"/>
    <n v="249"/>
    <n v="2443"/>
    <m/>
    <m/>
    <n v="27857"/>
    <n v="27713"/>
    <n v="15835"/>
    <n v="16426"/>
    <n v="1922"/>
    <n v="1248"/>
    <n v="9814"/>
    <n v="238"/>
    <n v="48"/>
    <n v="9395"/>
    <n v="217"/>
    <n v="427"/>
    <m/>
    <m/>
  </r>
  <r>
    <x v="13"/>
    <s v="Sul Ross State University "/>
    <m/>
    <n v="228501"/>
    <x v="2"/>
    <n v="35901"/>
    <n v="36926"/>
    <n v="32095"/>
    <n v="32570"/>
    <n v="22"/>
    <n v="53"/>
    <n v="2827"/>
    <n v="957"/>
    <n v="0"/>
    <n v="3438"/>
    <n v="865"/>
    <n v="0"/>
    <m/>
    <m/>
    <n v="9411"/>
    <n v="9264"/>
    <n v="4719"/>
    <n v="3889"/>
    <n v="561"/>
    <n v="572"/>
    <n v="3855"/>
    <n v="276"/>
    <n v="0"/>
    <n v="4155"/>
    <n v="648"/>
    <n v="0"/>
    <m/>
    <m/>
  </r>
  <r>
    <x v="13"/>
    <s v="Tarleton State University"/>
    <m/>
    <n v="228529"/>
    <x v="2"/>
    <n v="202710"/>
    <n v="196208"/>
    <n v="154056"/>
    <n v="156242"/>
    <n v="30273"/>
    <n v="15185"/>
    <n v="16209"/>
    <n v="2172"/>
    <n v="0"/>
    <n v="24091"/>
    <n v="690"/>
    <n v="0"/>
    <m/>
    <m/>
    <n v="28095"/>
    <n v="21239"/>
    <n v="5572"/>
    <n v="5253"/>
    <n v="15460"/>
    <n v="8113"/>
    <n v="6762"/>
    <n v="301"/>
    <n v="0"/>
    <n v="7765"/>
    <n v="108"/>
    <n v="0"/>
    <m/>
    <m/>
  </r>
  <r>
    <x v="13"/>
    <s v="Texas A &amp; M International University"/>
    <m/>
    <n v="226152"/>
    <x v="2"/>
    <n v="119975"/>
    <n v="133036"/>
    <n v="114864"/>
    <n v="126419"/>
    <n v="0"/>
    <n v="0"/>
    <n v="5111"/>
    <n v="0"/>
    <n v="0"/>
    <n v="6617"/>
    <n v="0"/>
    <n v="0"/>
    <m/>
    <m/>
    <n v="15133"/>
    <n v="14220"/>
    <n v="11947"/>
    <n v="10989"/>
    <n v="0"/>
    <n v="0"/>
    <n v="3015"/>
    <n v="171"/>
    <n v="0"/>
    <n v="3060"/>
    <n v="171"/>
    <n v="0"/>
    <m/>
    <m/>
  </r>
  <r>
    <x v="13"/>
    <s v="Texas A &amp; M University - Commerce"/>
    <m/>
    <n v="224554"/>
    <x v="2"/>
    <n v="134111"/>
    <n v="149128"/>
    <n v="91574"/>
    <n v="98196"/>
    <n v="14150"/>
    <n v="14970"/>
    <n v="27982"/>
    <n v="405"/>
    <n v="0"/>
    <n v="35659"/>
    <n v="303"/>
    <n v="0"/>
    <m/>
    <m/>
    <n v="60044"/>
    <n v="64200"/>
    <n v="17090"/>
    <n v="17488"/>
    <n v="16441"/>
    <n v="16093"/>
    <n v="25790"/>
    <n v="723"/>
    <n v="0"/>
    <n v="30190"/>
    <n v="429"/>
    <n v="0"/>
    <m/>
    <m/>
  </r>
  <r>
    <x v="13"/>
    <s v="Texas A &amp; M University-Corpus Christi "/>
    <m/>
    <n v="224147"/>
    <x v="2"/>
    <n v="197980"/>
    <n v="210868"/>
    <n v="195573"/>
    <n v="203818"/>
    <n v="0"/>
    <n v="0"/>
    <n v="2407"/>
    <n v="0"/>
    <n v="0"/>
    <n v="7050"/>
    <n v="0"/>
    <n v="0"/>
    <m/>
    <m/>
    <n v="27951"/>
    <n v="31031"/>
    <n v="25647"/>
    <n v="24486"/>
    <n v="0"/>
    <n v="0"/>
    <n v="2304"/>
    <n v="0"/>
    <n v="0"/>
    <n v="6545"/>
    <n v="0"/>
    <n v="0"/>
    <m/>
    <m/>
  </r>
  <r>
    <x v="13"/>
    <s v="Texas A &amp; M University-Kingsville"/>
    <m/>
    <n v="228705"/>
    <x v="2"/>
    <n v="132231"/>
    <n v="131247"/>
    <n v="112695"/>
    <n v="127316"/>
    <n v="16656"/>
    <n v="947"/>
    <n v="2331"/>
    <n v="549"/>
    <n v="0"/>
    <n v="2640"/>
    <n v="344"/>
    <n v="0"/>
    <m/>
    <m/>
    <n v="27076"/>
    <n v="21491"/>
    <n v="18646"/>
    <n v="16976"/>
    <n v="4170"/>
    <n v="0"/>
    <n v="4128"/>
    <n v="132"/>
    <n v="0"/>
    <n v="4416"/>
    <n v="99"/>
    <n v="0"/>
    <m/>
    <m/>
  </r>
  <r>
    <x v="13"/>
    <s v="Texas Southern University "/>
    <m/>
    <n v="229063"/>
    <x v="2"/>
    <n v="177407"/>
    <n v="188315"/>
    <n v="175823"/>
    <n v="184649"/>
    <n v="165"/>
    <n v="90"/>
    <n v="0"/>
    <n v="0"/>
    <n v="1419"/>
    <n v="1227"/>
    <n v="0"/>
    <n v="2349"/>
    <m/>
    <m/>
    <n v="46198"/>
    <n v="53606"/>
    <n v="45106"/>
    <n v="48809"/>
    <n v="324"/>
    <n v="369"/>
    <n v="0"/>
    <n v="0"/>
    <n v="768"/>
    <n v="2619"/>
    <n v="0"/>
    <n v="1809"/>
    <m/>
    <m/>
  </r>
  <r>
    <x v="13"/>
    <s v="Texas State University - San Marcos "/>
    <m/>
    <n v="228459"/>
    <x v="2"/>
    <n v="677840"/>
    <n v="711892"/>
    <n v="648891"/>
    <n v="672208"/>
    <n v="20220"/>
    <n v="28613"/>
    <n v="8285"/>
    <n v="78"/>
    <n v="366"/>
    <n v="10578"/>
    <n v="217"/>
    <n v="276"/>
    <m/>
    <m/>
    <n v="72757"/>
    <n v="78046"/>
    <n v="57162"/>
    <n v="60760"/>
    <n v="10562"/>
    <n v="10625"/>
    <n v="4931"/>
    <n v="60"/>
    <n v="42"/>
    <n v="6040"/>
    <n v="573"/>
    <n v="48"/>
    <m/>
    <m/>
  </r>
  <r>
    <x v="13"/>
    <s v="University of Houston-Clear Lake "/>
    <m/>
    <n v="225414"/>
    <x v="2"/>
    <n v="95070"/>
    <n v="103500"/>
    <n v="77661"/>
    <n v="80826"/>
    <n v="4155"/>
    <n v="6642"/>
    <n v="13254"/>
    <n v="0"/>
    <n v="0"/>
    <n v="16032"/>
    <n v="0"/>
    <n v="0"/>
    <m/>
    <m/>
    <n v="50931"/>
    <n v="53447"/>
    <n v="32294"/>
    <n v="33248"/>
    <n v="6252"/>
    <n v="6044"/>
    <n v="12385"/>
    <n v="0"/>
    <n v="0"/>
    <n v="14155"/>
    <n v="0"/>
    <n v="0"/>
    <m/>
    <m/>
  </r>
  <r>
    <x v="13"/>
    <s v="University of Texas at Tyler"/>
    <m/>
    <n v="228802"/>
    <x v="2"/>
    <n v="126341"/>
    <n v="125035"/>
    <n v="112868"/>
    <n v="112529"/>
    <n v="1548"/>
    <n v="1643"/>
    <n v="6188"/>
    <n v="5737"/>
    <n v="0"/>
    <n v="5936"/>
    <n v="4927"/>
    <n v="0"/>
    <m/>
    <m/>
    <n v="13307"/>
    <n v="19100"/>
    <n v="8861"/>
    <n v="9974"/>
    <n v="324"/>
    <n v="84"/>
    <n v="3933"/>
    <n v="189"/>
    <n v="0"/>
    <n v="8679"/>
    <n v="363"/>
    <n v="0"/>
    <m/>
    <m/>
  </r>
  <r>
    <x v="13"/>
    <s v="University of Texas-Pan American"/>
    <m/>
    <n v="227368"/>
    <x v="2"/>
    <n v="418428"/>
    <n v="432823"/>
    <n v="407634"/>
    <n v="402907"/>
    <n v="4640"/>
    <n v="3261"/>
    <n v="5794"/>
    <n v="360"/>
    <n v="0"/>
    <n v="26085"/>
    <n v="570"/>
    <n v="0"/>
    <m/>
    <m/>
    <n v="39437"/>
    <n v="43229"/>
    <n v="37544"/>
    <n v="37173"/>
    <n v="78"/>
    <n v="2703"/>
    <n v="1815"/>
    <n v="0"/>
    <n v="0"/>
    <n v="3353"/>
    <n v="0"/>
    <n v="0"/>
    <m/>
    <m/>
  </r>
  <r>
    <x v="13"/>
    <s v="West Texas A &amp; M University"/>
    <m/>
    <n v="229814"/>
    <x v="2"/>
    <n v="162080"/>
    <n v="167750"/>
    <n v="133024"/>
    <n v="135758"/>
    <n v="0"/>
    <n v="87"/>
    <n v="29056"/>
    <n v="0"/>
    <n v="0"/>
    <n v="31905"/>
    <n v="0"/>
    <n v="0"/>
    <m/>
    <m/>
    <n v="20395"/>
    <n v="20269"/>
    <n v="10163"/>
    <n v="9853"/>
    <n v="231"/>
    <n v="252"/>
    <n v="10001"/>
    <n v="0"/>
    <n v="0"/>
    <n v="10164"/>
    <n v="0"/>
    <n v="0"/>
    <m/>
    <m/>
  </r>
  <r>
    <x v="13"/>
    <s v="Texas A &amp; M -Texarkana"/>
    <m/>
    <n v="224545"/>
    <x v="3"/>
    <n v="24286"/>
    <n v="27281"/>
    <n v="16034"/>
    <n v="16265"/>
    <n v="3864"/>
    <n v="4086"/>
    <n v="4242"/>
    <n v="146"/>
    <n v="0"/>
    <n v="6324"/>
    <n v="606"/>
    <n v="0"/>
    <m/>
    <m/>
    <n v="9072"/>
    <n v="9721"/>
    <n v="6075"/>
    <n v="5089"/>
    <n v="663"/>
    <n v="1590"/>
    <n v="2334"/>
    <n v="0"/>
    <n v="0"/>
    <n v="3042"/>
    <n v="0"/>
    <n v="0"/>
    <m/>
    <m/>
  </r>
  <r>
    <x v="13"/>
    <s v="University of Houston-Victoria"/>
    <m/>
    <n v="225502"/>
    <x v="3"/>
    <n v="40758"/>
    <n v="49683"/>
    <n v="3793"/>
    <n v="6829"/>
    <n v="7695"/>
    <n v="7859"/>
    <n v="26856"/>
    <n v="0"/>
    <n v="2414"/>
    <n v="30849"/>
    <n v="1379"/>
    <n v="2767"/>
    <m/>
    <m/>
    <n v="25069"/>
    <n v="27186"/>
    <n v="967"/>
    <n v="981"/>
    <n v="5742"/>
    <n v="5853"/>
    <n v="17460"/>
    <n v="0"/>
    <n v="900"/>
    <n v="18906"/>
    <n v="789"/>
    <n v="657"/>
    <m/>
    <m/>
  </r>
  <r>
    <x v="13"/>
    <s v="University of Texas at Brownsville"/>
    <s v="Reclassified: Met the criteria for Four-Year 3 in 2008-09, 2009-10 and 2010-11."/>
    <n v="227377"/>
    <x v="2"/>
    <n v="89797"/>
    <n v="96681"/>
    <n v="74569"/>
    <n v="80727"/>
    <n v="0"/>
    <n v="0"/>
    <n v="15228"/>
    <n v="0"/>
    <n v="0"/>
    <n v="15954"/>
    <n v="0"/>
    <n v="0"/>
    <m/>
    <m/>
    <n v="11711"/>
    <n v="12357"/>
    <n v="9719"/>
    <n v="9949"/>
    <n v="0"/>
    <n v="0"/>
    <n v="1992"/>
    <n v="0"/>
    <n v="0"/>
    <n v="2408"/>
    <n v="0"/>
    <n v="0"/>
    <m/>
    <m/>
  </r>
  <r>
    <x v="13"/>
    <s v="University of Texas of the Permian Basin"/>
    <s v="Met the criteria for Four-Year 3 in 2009-10 and 2010-11."/>
    <n v="229018"/>
    <x v="3"/>
    <n v="67756"/>
    <n v="74012"/>
    <n v="57391"/>
    <n v="59299"/>
    <n v="870"/>
    <n v="622"/>
    <n v="9432"/>
    <n v="63"/>
    <n v="0"/>
    <n v="14079"/>
    <n v="12"/>
    <n v="0"/>
    <m/>
    <m/>
    <n v="10192"/>
    <n v="10029"/>
    <n v="6769"/>
    <n v="5712"/>
    <n v="54"/>
    <n v="33"/>
    <n v="3369"/>
    <n v="0"/>
    <n v="0"/>
    <n v="4284"/>
    <n v="0"/>
    <n v="0"/>
    <m/>
    <m/>
  </r>
  <r>
    <x v="13"/>
    <s v="Sul Ross State University-Rio Grande College"/>
    <m/>
    <s v="228501B"/>
    <x v="4"/>
    <n v="15986"/>
    <n v="17595"/>
    <n v="9032"/>
    <n v="8539"/>
    <n v="0"/>
    <n v="0"/>
    <n v="2694"/>
    <n v="4239"/>
    <n v="21"/>
    <n v="4253"/>
    <n v="4803"/>
    <n v="0"/>
    <m/>
    <m/>
    <n v="3306"/>
    <n v="3612"/>
    <n v="2310"/>
    <n v="2052"/>
    <n v="0"/>
    <n v="0"/>
    <n v="705"/>
    <n v="285"/>
    <n v="6"/>
    <n v="1161"/>
    <n v="399"/>
    <n v="0"/>
    <m/>
    <m/>
  </r>
  <r>
    <x v="13"/>
    <s v="University of Houston-Downtown"/>
    <m/>
    <n v="225432"/>
    <x v="4"/>
    <n v="260497"/>
    <n v="264140"/>
    <n v="219564"/>
    <n v="211159"/>
    <n v="12985"/>
    <n v="12808"/>
    <n v="26220"/>
    <n v="1458"/>
    <n v="270"/>
    <n v="39399"/>
    <n v="774"/>
    <n v="0"/>
    <m/>
    <m/>
    <n v="2184"/>
    <n v="2013"/>
    <n v="2157"/>
    <n v="1911"/>
    <n v="9"/>
    <n v="30"/>
    <n v="18"/>
    <n v="0"/>
    <n v="0"/>
    <n v="72"/>
    <n v="0"/>
    <n v="0"/>
    <m/>
    <m/>
  </r>
  <r>
    <x v="13"/>
    <s v="Texas A &amp; M University at Galveston"/>
    <m/>
    <n v="228714"/>
    <x v="5"/>
    <n v="49077"/>
    <n v="49481"/>
    <n v="49077"/>
    <n v="49475"/>
    <n v="0"/>
    <n v="0"/>
    <n v="0"/>
    <n v="0"/>
    <n v="0"/>
    <n v="6"/>
    <n v="0"/>
    <n v="0"/>
    <m/>
    <m/>
    <n v="874"/>
    <n v="996"/>
    <n v="820"/>
    <n v="921"/>
    <n v="18"/>
    <n v="12"/>
    <n v="36"/>
    <n v="0"/>
    <n v="0"/>
    <n v="42"/>
    <n v="0"/>
    <n v="21"/>
    <m/>
    <m/>
  </r>
  <r>
    <x v="13"/>
    <s v="Brazosport College "/>
    <m/>
    <n v="223506"/>
    <x v="11"/>
    <n v="69862"/>
    <n v="78728"/>
    <n v="56582"/>
    <n v="62683"/>
    <n v="4746"/>
    <n v="4942"/>
    <n v="8534"/>
    <n v="0"/>
    <n v="0"/>
    <n v="11103"/>
    <n v="0"/>
    <n v="0"/>
    <m/>
    <m/>
    <n v="0"/>
    <n v="0"/>
    <m/>
    <m/>
    <m/>
    <m/>
    <m/>
    <m/>
    <m/>
    <m/>
    <m/>
    <m/>
    <m/>
    <m/>
  </r>
  <r>
    <x v="13"/>
    <s v="Midland College "/>
    <m/>
    <n v="226806"/>
    <x v="11"/>
    <n v="116091"/>
    <n v="125438"/>
    <n v="76871"/>
    <n v="81111"/>
    <n v="2474"/>
    <n v="2678"/>
    <n v="34935"/>
    <n v="1811"/>
    <n v="0"/>
    <n v="40355"/>
    <n v="1294"/>
    <n v="0"/>
    <m/>
    <m/>
    <n v="0"/>
    <n v="0"/>
    <m/>
    <m/>
    <m/>
    <m/>
    <m/>
    <m/>
    <m/>
    <m/>
    <m/>
    <m/>
    <m/>
    <m/>
  </r>
  <r>
    <x v="13"/>
    <s v="South Texas College"/>
    <m/>
    <n v="409315"/>
    <x v="11"/>
    <n v="460037"/>
    <n v="543940"/>
    <n v="407227"/>
    <n v="467854"/>
    <n v="0"/>
    <n v="0"/>
    <n v="52660"/>
    <n v="0"/>
    <n v="150"/>
    <n v="75897"/>
    <n v="0"/>
    <n v="189"/>
    <m/>
    <m/>
    <n v="0"/>
    <n v="0"/>
    <m/>
    <m/>
    <m/>
    <m/>
    <m/>
    <m/>
    <m/>
    <m/>
    <m/>
    <m/>
    <m/>
    <m/>
  </r>
  <r>
    <x v="13"/>
    <s v="Amarillo College "/>
    <m/>
    <n v="222576"/>
    <x v="6"/>
    <n v="190249"/>
    <n v="213375"/>
    <n v="134144"/>
    <n v="145744"/>
    <n v="6082"/>
    <n v="7229"/>
    <n v="44339"/>
    <n v="474"/>
    <n v="5210"/>
    <n v="51591"/>
    <n v="390"/>
    <n v="8421"/>
    <m/>
    <m/>
    <n v="0"/>
    <n v="0"/>
    <m/>
    <m/>
    <m/>
    <m/>
    <m/>
    <m/>
    <m/>
    <m/>
    <m/>
    <m/>
    <m/>
    <m/>
  </r>
  <r>
    <x v="13"/>
    <s v="Austin Community College "/>
    <m/>
    <n v="222992"/>
    <x v="6"/>
    <n v="728939"/>
    <n v="816462"/>
    <n v="580656"/>
    <n v="680276"/>
    <n v="49142"/>
    <n v="48752"/>
    <n v="97041"/>
    <n v="0"/>
    <n v="2100"/>
    <n v="84116"/>
    <n v="0"/>
    <n v="3318"/>
    <m/>
    <m/>
    <n v="0"/>
    <n v="0"/>
    <m/>
    <m/>
    <m/>
    <m/>
    <m/>
    <m/>
    <m/>
    <m/>
    <m/>
    <m/>
    <m/>
    <m/>
  </r>
  <r>
    <x v="13"/>
    <s v="Blinn College "/>
    <m/>
    <n v="223427"/>
    <x v="6"/>
    <n v="372652"/>
    <n v="389577"/>
    <n v="58220"/>
    <n v="59797"/>
    <n v="270782"/>
    <n v="273747"/>
    <n v="43650"/>
    <n v="0"/>
    <n v="0"/>
    <n v="56033"/>
    <n v="0"/>
    <n v="0"/>
    <m/>
    <m/>
    <n v="0"/>
    <n v="0"/>
    <m/>
    <m/>
    <m/>
    <m/>
    <m/>
    <m/>
    <m/>
    <m/>
    <m/>
    <m/>
    <m/>
    <m/>
  </r>
  <r>
    <x v="13"/>
    <s v="Brookhaven College (DCCCD)"/>
    <m/>
    <n v="223524"/>
    <x v="6"/>
    <n v="197873"/>
    <n v="216050"/>
    <n v="150597"/>
    <n v="161260"/>
    <n v="0"/>
    <n v="0"/>
    <n v="47005"/>
    <n v="0"/>
    <n v="271"/>
    <n v="54564"/>
    <n v="0"/>
    <n v="226"/>
    <m/>
    <m/>
    <n v="0"/>
    <n v="0"/>
    <m/>
    <m/>
    <m/>
    <m/>
    <m/>
    <m/>
    <m/>
    <m/>
    <m/>
    <m/>
    <m/>
    <m/>
  </r>
  <r>
    <x v="13"/>
    <s v="Central Texas College "/>
    <m/>
    <n v="223816"/>
    <x v="6"/>
    <n v="274603"/>
    <n v="311862"/>
    <n v="102979"/>
    <n v="114054"/>
    <n v="60596"/>
    <n v="71851"/>
    <n v="109651"/>
    <n v="1002"/>
    <n v="375"/>
    <n v="121892"/>
    <n v="1117"/>
    <n v="2948"/>
    <m/>
    <m/>
    <n v="0"/>
    <n v="0"/>
    <m/>
    <m/>
    <m/>
    <m/>
    <m/>
    <m/>
    <m/>
    <m/>
    <m/>
    <m/>
    <m/>
    <m/>
  </r>
  <r>
    <x v="13"/>
    <s v="Collin County Community College District"/>
    <m/>
    <n v="247834"/>
    <x v="6"/>
    <n v="472245"/>
    <n v="528290"/>
    <n v="425828"/>
    <n v="461806"/>
    <n v="3200"/>
    <n v="3666"/>
    <n v="43068"/>
    <n v="0"/>
    <n v="149"/>
    <n v="61619"/>
    <n v="0"/>
    <n v="1199"/>
    <m/>
    <m/>
    <n v="0"/>
    <n v="0"/>
    <m/>
    <m/>
    <m/>
    <m/>
    <m/>
    <m/>
    <m/>
    <m/>
    <m/>
    <m/>
    <m/>
    <m/>
  </r>
  <r>
    <x v="13"/>
    <s v="Del Mar College "/>
    <m/>
    <n v="224350"/>
    <x v="6"/>
    <n v="221044"/>
    <n v="235688"/>
    <n v="198145"/>
    <n v="211095"/>
    <n v="213"/>
    <n v="2151"/>
    <n v="22686"/>
    <n v="0"/>
    <n v="0"/>
    <n v="22442"/>
    <n v="0"/>
    <n v="0"/>
    <m/>
    <m/>
    <n v="0"/>
    <n v="0"/>
    <m/>
    <m/>
    <m/>
    <m/>
    <m/>
    <m/>
    <m/>
    <m/>
    <m/>
    <m/>
    <m/>
    <m/>
  </r>
  <r>
    <x v="13"/>
    <s v="Eastfield College (DCCCD)"/>
    <m/>
    <n v="224572"/>
    <x v="6"/>
    <n v="196928"/>
    <n v="224080"/>
    <n v="152685"/>
    <n v="171023"/>
    <n v="0"/>
    <n v="0"/>
    <n v="42565"/>
    <n v="0"/>
    <n v="1678"/>
    <n v="52613"/>
    <n v="0"/>
    <n v="444"/>
    <m/>
    <m/>
    <n v="0"/>
    <n v="0"/>
    <m/>
    <m/>
    <m/>
    <m/>
    <m/>
    <m/>
    <m/>
    <m/>
    <m/>
    <m/>
    <m/>
    <m/>
  </r>
  <r>
    <x v="13"/>
    <s v="El Paso County Community College District"/>
    <m/>
    <n v="224642"/>
    <x v="6"/>
    <n v="513685"/>
    <n v="562559"/>
    <n v="473687"/>
    <n v="519506"/>
    <n v="0"/>
    <n v="0"/>
    <n v="31398"/>
    <n v="876"/>
    <n v="7724"/>
    <n v="39987"/>
    <n v="669"/>
    <n v="2397"/>
    <m/>
    <m/>
    <n v="0"/>
    <n v="0"/>
    <m/>
    <m/>
    <m/>
    <m/>
    <m/>
    <m/>
    <m/>
    <m/>
    <m/>
    <m/>
    <m/>
    <m/>
  </r>
  <r>
    <x v="13"/>
    <s v="Houston Community College"/>
    <m/>
    <n v="225423"/>
    <x v="6"/>
    <n v="981244"/>
    <n v="1158629"/>
    <n v="631291"/>
    <n v="730109"/>
    <n v="178566"/>
    <n v="208557"/>
    <n v="170300"/>
    <n v="0"/>
    <n v="1087"/>
    <n v="219483"/>
    <n v="0"/>
    <n v="480"/>
    <m/>
    <m/>
    <n v="0"/>
    <n v="0"/>
    <m/>
    <m/>
    <m/>
    <m/>
    <m/>
    <m/>
    <m/>
    <m/>
    <m/>
    <m/>
    <m/>
    <m/>
  </r>
  <r>
    <x v="13"/>
    <s v="Laredo Community College "/>
    <m/>
    <n v="226134"/>
    <x v="6"/>
    <n v="173580"/>
    <n v="190762"/>
    <n v="149861"/>
    <n v="164637"/>
    <n v="0"/>
    <n v="0"/>
    <n v="23719"/>
    <n v="0"/>
    <n v="0"/>
    <n v="25981"/>
    <n v="144"/>
    <n v="0"/>
    <m/>
    <m/>
    <n v="0"/>
    <n v="0"/>
    <m/>
    <m/>
    <m/>
    <m/>
    <m/>
    <m/>
    <m/>
    <m/>
    <m/>
    <m/>
    <m/>
    <m/>
  </r>
  <r>
    <x v="13"/>
    <s v="Lone Star College System District"/>
    <m/>
    <n v="227182"/>
    <x v="6"/>
    <n v="916488"/>
    <n v="1101211"/>
    <n v="758146"/>
    <n v="897457"/>
    <n v="1960"/>
    <n v="1849"/>
    <n v="152895"/>
    <n v="0"/>
    <n v="3487"/>
    <n v="199783"/>
    <n v="0"/>
    <n v="2122"/>
    <m/>
    <m/>
    <n v="0"/>
    <n v="0"/>
    <m/>
    <m/>
    <m/>
    <m/>
    <m/>
    <m/>
    <m/>
    <m/>
    <m/>
    <m/>
    <m/>
    <m/>
  </r>
  <r>
    <x v="13"/>
    <s v="McLennan Community College "/>
    <m/>
    <n v="226578"/>
    <x v="6"/>
    <n v="190774"/>
    <n v="217294"/>
    <n v="147742"/>
    <n v="162240"/>
    <n v="54"/>
    <n v="15"/>
    <n v="41808"/>
    <n v="1170"/>
    <n v="0"/>
    <n v="54387"/>
    <n v="652"/>
    <n v="0"/>
    <m/>
    <m/>
    <n v="0"/>
    <n v="0"/>
    <m/>
    <m/>
    <m/>
    <m/>
    <m/>
    <m/>
    <m/>
    <m/>
    <m/>
    <m/>
    <m/>
    <m/>
  </r>
  <r>
    <x v="13"/>
    <s v="Navarro College "/>
    <m/>
    <n v="227146"/>
    <x v="6"/>
    <n v="199058"/>
    <n v="233297"/>
    <n v="71510"/>
    <n v="77375"/>
    <n v="77002"/>
    <n v="90051"/>
    <n v="46232"/>
    <n v="0"/>
    <n v="4314"/>
    <n v="61700"/>
    <n v="30"/>
    <n v="4141"/>
    <m/>
    <m/>
    <n v="0"/>
    <n v="0"/>
    <m/>
    <m/>
    <m/>
    <m/>
    <m/>
    <m/>
    <m/>
    <m/>
    <m/>
    <m/>
    <m/>
    <m/>
  </r>
  <r>
    <x v="13"/>
    <s v="North Lake College (DCCCD)"/>
    <m/>
    <n v="227191"/>
    <x v="6"/>
    <n v="194742"/>
    <n v="205951"/>
    <n v="152331"/>
    <n v="154828"/>
    <n v="3053"/>
    <n v="3514"/>
    <n v="38965"/>
    <n v="0"/>
    <n v="393"/>
    <n v="47477"/>
    <n v="0"/>
    <n v="132"/>
    <m/>
    <m/>
    <n v="0"/>
    <n v="0"/>
    <m/>
    <m/>
    <m/>
    <m/>
    <m/>
    <m/>
    <m/>
    <m/>
    <m/>
    <m/>
    <m/>
    <m/>
  </r>
  <r>
    <x v="13"/>
    <s v="Northwest Vista College (ACCD)"/>
    <m/>
    <n v="420398"/>
    <x v="6"/>
    <n v="258060"/>
    <n v="295874"/>
    <n v="237149"/>
    <n v="267567"/>
    <n v="0"/>
    <n v="0"/>
    <n v="20557"/>
    <n v="0"/>
    <n v="354"/>
    <n v="26262"/>
    <n v="0"/>
    <n v="2045"/>
    <m/>
    <m/>
    <n v="0"/>
    <n v="0"/>
    <m/>
    <m/>
    <m/>
    <m/>
    <m/>
    <m/>
    <m/>
    <m/>
    <m/>
    <m/>
    <m/>
    <m/>
  </r>
  <r>
    <x v="13"/>
    <s v="Palo Alto College (ACCD)"/>
    <m/>
    <n v="246354"/>
    <x v="6"/>
    <n v="159901"/>
    <n v="165105"/>
    <n v="130224"/>
    <n v="134898"/>
    <n v="114"/>
    <n v="93"/>
    <n v="26515"/>
    <n v="960"/>
    <n v="2088"/>
    <n v="27177"/>
    <n v="1035"/>
    <n v="1902"/>
    <m/>
    <m/>
    <n v="0"/>
    <n v="0"/>
    <m/>
    <m/>
    <m/>
    <m/>
    <m/>
    <m/>
    <m/>
    <m/>
    <m/>
    <m/>
    <m/>
    <m/>
  </r>
  <r>
    <x v="13"/>
    <s v="Richland College (DCCCD)"/>
    <m/>
    <n v="227766"/>
    <x v="6"/>
    <n v="319106"/>
    <n v="350074"/>
    <n v="245359"/>
    <n v="258961"/>
    <n v="0"/>
    <n v="0"/>
    <n v="73699"/>
    <n v="0"/>
    <n v="48"/>
    <n v="91113"/>
    <n v="0"/>
    <n v="0"/>
    <m/>
    <m/>
    <n v="0"/>
    <n v="0"/>
    <m/>
    <m/>
    <m/>
    <m/>
    <m/>
    <m/>
    <m/>
    <m/>
    <m/>
    <m/>
    <m/>
    <m/>
  </r>
  <r>
    <x v="13"/>
    <s v="San Antonio College (ACCD)"/>
    <m/>
    <n v="227924"/>
    <x v="6"/>
    <n v="469305"/>
    <n v="501465"/>
    <n v="399647"/>
    <n v="428816"/>
    <n v="5565"/>
    <n v="3658"/>
    <n v="61276"/>
    <n v="190"/>
    <n v="2627"/>
    <n v="65514"/>
    <n v="0"/>
    <n v="3477"/>
    <m/>
    <m/>
    <n v="0"/>
    <n v="0"/>
    <m/>
    <m/>
    <m/>
    <m/>
    <m/>
    <m/>
    <m/>
    <m/>
    <m/>
    <m/>
    <m/>
    <m/>
  </r>
  <r>
    <x v="13"/>
    <s v="San Jacinto College"/>
    <m/>
    <n v="227979"/>
    <x v="6"/>
    <n v="523177"/>
    <n v="575097"/>
    <n v="447171"/>
    <n v="489108"/>
    <n v="9791"/>
    <n v="11218"/>
    <n v="65997"/>
    <n v="218"/>
    <n v="0"/>
    <n v="74372"/>
    <n v="399"/>
    <n v="0"/>
    <m/>
    <m/>
    <n v="0"/>
    <n v="0"/>
    <m/>
    <m/>
    <m/>
    <m/>
    <m/>
    <m/>
    <m/>
    <m/>
    <m/>
    <m/>
    <m/>
    <m/>
  </r>
  <r>
    <x v="13"/>
    <s v="South Plains College "/>
    <m/>
    <n v="228158"/>
    <x v="6"/>
    <n v="203280"/>
    <n v="217039"/>
    <n v="89758"/>
    <n v="94485"/>
    <n v="79083"/>
    <n v="84031"/>
    <n v="28958"/>
    <n v="4082"/>
    <n v="1399"/>
    <n v="31816"/>
    <n v="3245"/>
    <n v="3462"/>
    <m/>
    <m/>
    <n v="0"/>
    <n v="0"/>
    <m/>
    <m/>
    <m/>
    <m/>
    <m/>
    <m/>
    <m/>
    <m/>
    <m/>
    <m/>
    <m/>
    <m/>
  </r>
  <r>
    <x v="13"/>
    <s v="St. Philip's College (ACCD)"/>
    <m/>
    <n v="227854"/>
    <x v="6"/>
    <n v="213961"/>
    <n v="218515"/>
    <n v="187535"/>
    <n v="183707"/>
    <n v="2039"/>
    <n v="1414"/>
    <n v="22904"/>
    <n v="0"/>
    <n v="1483"/>
    <n v="31378"/>
    <n v="0"/>
    <n v="2016"/>
    <m/>
    <m/>
    <n v="0"/>
    <n v="0"/>
    <m/>
    <m/>
    <m/>
    <m/>
    <m/>
    <m/>
    <m/>
    <m/>
    <m/>
    <m/>
    <m/>
    <m/>
  </r>
  <r>
    <x v="13"/>
    <s v="Tarrant County College"/>
    <m/>
    <n v="228547"/>
    <x v="6"/>
    <n v="827822"/>
    <n v="968654"/>
    <n v="697953"/>
    <n v="797438"/>
    <n v="165"/>
    <n v="222"/>
    <n v="103707"/>
    <n v="0"/>
    <n v="25997"/>
    <n v="146199"/>
    <n v="0"/>
    <n v="24795"/>
    <m/>
    <m/>
    <n v="0"/>
    <n v="0"/>
    <m/>
    <m/>
    <m/>
    <m/>
    <m/>
    <m/>
    <m/>
    <m/>
    <m/>
    <m/>
    <m/>
    <m/>
  </r>
  <r>
    <x v="13"/>
    <s v="Texas Southmost College "/>
    <m/>
    <n v="229072"/>
    <x v="6"/>
    <n v="181275"/>
    <n v="190606"/>
    <n v="169866"/>
    <n v="178372"/>
    <n v="6017"/>
    <n v="3997"/>
    <n v="5392"/>
    <n v="0"/>
    <n v="0"/>
    <n v="8237"/>
    <n v="0"/>
    <n v="0"/>
    <m/>
    <m/>
    <n v="0"/>
    <n v="0"/>
    <m/>
    <m/>
    <m/>
    <m/>
    <m/>
    <m/>
    <m/>
    <m/>
    <m/>
    <m/>
    <m/>
    <m/>
  </r>
  <r>
    <x v="13"/>
    <s v="Tyler Junior College "/>
    <m/>
    <n v="229355"/>
    <x v="6"/>
    <n v="235827"/>
    <n v="259168"/>
    <n v="190362"/>
    <n v="206336"/>
    <n v="1981"/>
    <n v="0"/>
    <n v="41882"/>
    <n v="0"/>
    <n v="1602"/>
    <n v="51977"/>
    <n v="0"/>
    <n v="855"/>
    <m/>
    <m/>
    <n v="0"/>
    <n v="0"/>
    <m/>
    <m/>
    <m/>
    <m/>
    <m/>
    <m/>
    <m/>
    <m/>
    <m/>
    <m/>
    <m/>
    <m/>
  </r>
  <r>
    <x v="13"/>
    <s v="Alvin Community College "/>
    <m/>
    <n v="222567"/>
    <x v="7"/>
    <n v="100838"/>
    <n v="111467"/>
    <n v="83665"/>
    <n v="93297"/>
    <n v="17173"/>
    <n v="18170"/>
    <n v="0"/>
    <n v="0"/>
    <n v="0"/>
    <n v="0"/>
    <n v="0"/>
    <n v="0"/>
    <m/>
    <m/>
    <n v="0"/>
    <n v="0"/>
    <m/>
    <m/>
    <m/>
    <m/>
    <m/>
    <m/>
    <m/>
    <m/>
    <m/>
    <m/>
    <m/>
    <m/>
  </r>
  <r>
    <x v="13"/>
    <s v="Angelina College "/>
    <m/>
    <n v="222822"/>
    <x v="7"/>
    <n v="100867"/>
    <n v="114278"/>
    <n v="72328"/>
    <n v="79774"/>
    <n v="11534"/>
    <n v="13147"/>
    <n v="10806"/>
    <n v="6199"/>
    <n v="0"/>
    <n v="14636"/>
    <n v="6676"/>
    <n v="45"/>
    <m/>
    <m/>
    <n v="0"/>
    <n v="0"/>
    <m/>
    <m/>
    <m/>
    <m/>
    <m/>
    <m/>
    <m/>
    <m/>
    <m/>
    <m/>
    <m/>
    <m/>
  </r>
  <r>
    <x v="13"/>
    <s v="Cedar Valley College (DCCCD)"/>
    <m/>
    <n v="223773"/>
    <x v="7"/>
    <n v="99997"/>
    <n v="110642"/>
    <n v="65892"/>
    <n v="73303"/>
    <n v="1816"/>
    <n v="1243"/>
    <n v="32196"/>
    <n v="0"/>
    <n v="93"/>
    <n v="36096"/>
    <n v="0"/>
    <n v="0"/>
    <m/>
    <m/>
    <n v="0"/>
    <n v="0"/>
    <m/>
    <m/>
    <m/>
    <m/>
    <m/>
    <m/>
    <m/>
    <m/>
    <m/>
    <m/>
    <m/>
    <m/>
  </r>
  <r>
    <x v="13"/>
    <s v="Cisco Junior College "/>
    <m/>
    <n v="223898"/>
    <x v="7"/>
    <n v="82578"/>
    <n v="95299"/>
    <n v="15905"/>
    <n v="16291"/>
    <n v="49859"/>
    <n v="58548"/>
    <n v="15740"/>
    <n v="1074"/>
    <n v="0"/>
    <n v="19398"/>
    <n v="1062"/>
    <n v="0"/>
    <m/>
    <m/>
    <n v="0"/>
    <n v="0"/>
    <m/>
    <m/>
    <m/>
    <m/>
    <m/>
    <m/>
    <m/>
    <m/>
    <m/>
    <m/>
    <m/>
    <m/>
  </r>
  <r>
    <x v="13"/>
    <s v="Coastal Bend College"/>
    <m/>
    <n v="223320"/>
    <x v="7"/>
    <n v="77041"/>
    <n v="85421"/>
    <n v="25283"/>
    <n v="25762"/>
    <n v="33817"/>
    <n v="38577"/>
    <n v="10575"/>
    <n v="5915"/>
    <n v="1451"/>
    <n v="13890"/>
    <n v="5669"/>
    <n v="1523"/>
    <m/>
    <m/>
    <n v="0"/>
    <n v="0"/>
    <m/>
    <m/>
    <m/>
    <m/>
    <m/>
    <m/>
    <m/>
    <m/>
    <m/>
    <m/>
    <m/>
    <m/>
  </r>
  <r>
    <x v="13"/>
    <s v="College of the Mainland"/>
    <m/>
    <n v="226408"/>
    <x v="7"/>
    <n v="77570"/>
    <n v="87748"/>
    <n v="72622"/>
    <n v="81099"/>
    <n v="4948"/>
    <n v="6649"/>
    <n v="0"/>
    <n v="0"/>
    <n v="0"/>
    <n v="0"/>
    <n v="0"/>
    <n v="0"/>
    <m/>
    <m/>
    <n v="0"/>
    <n v="0"/>
    <m/>
    <m/>
    <m/>
    <m/>
    <m/>
    <m/>
    <m/>
    <m/>
    <m/>
    <m/>
    <m/>
    <m/>
  </r>
  <r>
    <x v="13"/>
    <s v="El Centro College  (DCCCD)"/>
    <s v="Reclassified: Met criteria for Two-Year 1 in 2008-09, 2009-10 and 2010-11."/>
    <n v="224615"/>
    <x v="6"/>
    <n v="147601"/>
    <n v="171269"/>
    <n v="115943"/>
    <n v="131698"/>
    <n v="0"/>
    <n v="0"/>
    <n v="31298"/>
    <n v="0"/>
    <n v="360"/>
    <n v="39280"/>
    <n v="0"/>
    <n v="291"/>
    <m/>
    <m/>
    <n v="0"/>
    <n v="0"/>
    <m/>
    <m/>
    <m/>
    <m/>
    <m/>
    <m/>
    <m/>
    <m/>
    <m/>
    <m/>
    <m/>
    <m/>
  </r>
  <r>
    <x v="13"/>
    <s v="Grayson County College "/>
    <m/>
    <n v="225070"/>
    <x v="7"/>
    <n v="99227"/>
    <n v="111874"/>
    <n v="74740"/>
    <n v="82611"/>
    <n v="457"/>
    <n v="730"/>
    <n v="22464"/>
    <n v="0"/>
    <n v="1566"/>
    <n v="26745"/>
    <n v="0"/>
    <n v="1788"/>
    <m/>
    <m/>
    <n v="0"/>
    <n v="0"/>
    <m/>
    <m/>
    <m/>
    <m/>
    <m/>
    <m/>
    <m/>
    <m/>
    <m/>
    <m/>
    <m/>
    <m/>
  </r>
  <r>
    <x v="13"/>
    <s v="Hill College"/>
    <m/>
    <n v="225371"/>
    <x v="7"/>
    <n v="85677"/>
    <n v="98493"/>
    <n v="17698"/>
    <n v="19574"/>
    <n v="41183"/>
    <n v="45049"/>
    <n v="25204"/>
    <n v="1592"/>
    <n v="0"/>
    <n v="31491"/>
    <n v="2379"/>
    <n v="0"/>
    <m/>
    <m/>
    <n v="0"/>
    <n v="0"/>
    <m/>
    <m/>
    <m/>
    <m/>
    <m/>
    <m/>
    <m/>
    <m/>
    <m/>
    <m/>
    <m/>
    <m/>
  </r>
  <r>
    <x v="13"/>
    <s v="Howard College (HCJCD)"/>
    <m/>
    <n v="225520"/>
    <x v="7"/>
    <n v="70754"/>
    <n v="82912"/>
    <n v="22145"/>
    <n v="21725"/>
    <n v="33269"/>
    <n v="39096"/>
    <n v="14050"/>
    <n v="1197"/>
    <n v="93"/>
    <n v="18986"/>
    <n v="3027"/>
    <n v="78"/>
    <m/>
    <m/>
    <n v="0"/>
    <n v="0"/>
    <m/>
    <m/>
    <m/>
    <m/>
    <m/>
    <m/>
    <m/>
    <m/>
    <m/>
    <m/>
    <m/>
    <m/>
  </r>
  <r>
    <x v="13"/>
    <s v="Kilgore College "/>
    <s v="Met criteria for Two-Year 1 in 2009-10 and 2010-11."/>
    <n v="226019"/>
    <x v="7"/>
    <n v="128654"/>
    <n v="146522"/>
    <n v="82175"/>
    <n v="91390"/>
    <n v="31539"/>
    <n v="35507"/>
    <n v="14251"/>
    <n v="575"/>
    <n v="114"/>
    <n v="18361"/>
    <n v="1264"/>
    <n v="0"/>
    <m/>
    <m/>
    <n v="0"/>
    <n v="0"/>
    <m/>
    <m/>
    <m/>
    <m/>
    <m/>
    <m/>
    <m/>
    <m/>
    <m/>
    <m/>
    <m/>
    <m/>
  </r>
  <r>
    <x v="13"/>
    <s v="Lamar Institute of Technology"/>
    <m/>
    <n v="441760"/>
    <x v="7"/>
    <n v="67264"/>
    <n v="67440"/>
    <n v="61378"/>
    <n v="60976"/>
    <n v="0"/>
    <n v="2280"/>
    <n v="4786"/>
    <n v="0"/>
    <n v="1100"/>
    <n v="4109"/>
    <n v="75"/>
    <n v="0"/>
    <m/>
    <m/>
    <n v="0"/>
    <n v="0"/>
    <m/>
    <m/>
    <m/>
    <m/>
    <m/>
    <m/>
    <m/>
    <m/>
    <m/>
    <m/>
    <m/>
    <m/>
  </r>
  <r>
    <x v="13"/>
    <s v="Lee College "/>
    <m/>
    <n v="226204"/>
    <x v="7"/>
    <n v="133448"/>
    <n v="143743"/>
    <n v="105915"/>
    <n v="112426"/>
    <n v="22172"/>
    <n v="20242"/>
    <n v="695"/>
    <n v="0"/>
    <n v="4666"/>
    <n v="6297"/>
    <n v="0"/>
    <n v="4778"/>
    <m/>
    <m/>
    <n v="0"/>
    <n v="0"/>
    <m/>
    <m/>
    <m/>
    <m/>
    <m/>
    <m/>
    <m/>
    <m/>
    <m/>
    <m/>
    <m/>
    <m/>
  </r>
  <r>
    <x v="13"/>
    <s v="Mountain View College  (DCCCD)"/>
    <s v="Met the criteria for Two-Year 1 in 2010-11."/>
    <n v="226930"/>
    <x v="7"/>
    <n v="133562"/>
    <n v="146353"/>
    <n v="108960"/>
    <n v="115141"/>
    <n v="0"/>
    <n v="0"/>
    <n v="24602"/>
    <n v="0"/>
    <n v="0"/>
    <n v="31212"/>
    <n v="0"/>
    <n v="0"/>
    <m/>
    <m/>
    <n v="0"/>
    <n v="0"/>
    <m/>
    <m/>
    <m/>
    <m/>
    <m/>
    <m/>
    <m/>
    <m/>
    <m/>
    <m/>
    <m/>
    <m/>
  </r>
  <r>
    <x v="13"/>
    <s v="North Central Texas Community College"/>
    <s v="Reclassified: Met criteria for Two-Year 1 in 2008-09, 2009-10 and 2010-11."/>
    <n v="224110"/>
    <x v="6"/>
    <n v="167202"/>
    <n v="177108"/>
    <n v="32015"/>
    <n v="32443"/>
    <n v="112004"/>
    <n v="115132"/>
    <n v="22272"/>
    <n v="111"/>
    <n v="800"/>
    <n v="28266"/>
    <n v="219"/>
    <n v="1048"/>
    <m/>
    <m/>
    <n v="0"/>
    <n v="0"/>
    <m/>
    <m/>
    <m/>
    <m/>
    <m/>
    <m/>
    <m/>
    <m/>
    <m/>
    <m/>
    <m/>
    <m/>
  </r>
  <r>
    <x v="13"/>
    <s v="Odessa College "/>
    <m/>
    <n v="227304"/>
    <x v="7"/>
    <n v="92478"/>
    <n v="100803"/>
    <n v="60233"/>
    <n v="64766"/>
    <n v="6620"/>
    <n v="6608"/>
    <n v="25625"/>
    <n v="0"/>
    <n v="0"/>
    <n v="29429"/>
    <n v="0"/>
    <n v="0"/>
    <m/>
    <m/>
    <n v="0"/>
    <n v="0"/>
    <m/>
    <m/>
    <m/>
    <m/>
    <m/>
    <m/>
    <m/>
    <m/>
    <m/>
    <m/>
    <m/>
    <m/>
  </r>
  <r>
    <x v="13"/>
    <s v="Paris Junior College"/>
    <m/>
    <n v="227401"/>
    <x v="7"/>
    <n v="110247"/>
    <n v="131831"/>
    <n v="48291"/>
    <n v="54350"/>
    <n v="38124"/>
    <n v="43436"/>
    <n v="20564"/>
    <n v="3268"/>
    <n v="0"/>
    <n v="30541"/>
    <n v="3504"/>
    <n v="0"/>
    <m/>
    <m/>
    <n v="0"/>
    <n v="0"/>
    <m/>
    <m/>
    <m/>
    <m/>
    <m/>
    <m/>
    <m/>
    <m/>
    <m/>
    <m/>
    <m/>
    <m/>
  </r>
  <r>
    <x v="13"/>
    <s v="Southwest Texas Junior College "/>
    <m/>
    <n v="228316"/>
    <x v="7"/>
    <n v="105519"/>
    <n v="118563"/>
    <n v="30618"/>
    <n v="34470"/>
    <n v="49850"/>
    <n v="55135"/>
    <n v="7217"/>
    <n v="17834"/>
    <n v="0"/>
    <n v="9453"/>
    <n v="19505"/>
    <n v="0"/>
    <m/>
    <m/>
    <n v="0"/>
    <n v="0"/>
    <m/>
    <m/>
    <m/>
    <m/>
    <m/>
    <m/>
    <m/>
    <m/>
    <m/>
    <m/>
    <m/>
    <m/>
  </r>
  <r>
    <x v="13"/>
    <s v="Temple College "/>
    <m/>
    <n v="228608"/>
    <x v="7"/>
    <n v="110003"/>
    <n v="122171"/>
    <n v="67638"/>
    <n v="72437"/>
    <n v="17364"/>
    <n v="19413"/>
    <n v="25001"/>
    <n v="0"/>
    <n v="0"/>
    <n v="30309"/>
    <n v="12"/>
    <n v="0"/>
    <m/>
    <m/>
    <n v="0"/>
    <n v="0"/>
    <m/>
    <m/>
    <m/>
    <m/>
    <m/>
    <m/>
    <m/>
    <m/>
    <m/>
    <m/>
    <m/>
    <m/>
  </r>
  <r>
    <x v="13"/>
    <s v="Texarkana College "/>
    <m/>
    <n v="228699"/>
    <x v="7"/>
    <n v="96045"/>
    <n v="94976"/>
    <n v="81206"/>
    <n v="79221"/>
    <n v="8843"/>
    <n v="9444"/>
    <n v="5951"/>
    <n v="45"/>
    <n v="0"/>
    <n v="6263"/>
    <n v="45"/>
    <n v="3"/>
    <m/>
    <m/>
    <n v="0"/>
    <n v="0"/>
    <m/>
    <m/>
    <m/>
    <m/>
    <m/>
    <m/>
    <m/>
    <m/>
    <m/>
    <m/>
    <m/>
    <m/>
  </r>
  <r>
    <x v="13"/>
    <s v="Texas State Technical College-Harlingen "/>
    <m/>
    <n v="229319"/>
    <x v="7"/>
    <n v="125124"/>
    <n v="136009"/>
    <n v="105520"/>
    <n v="118614"/>
    <n v="8945"/>
    <n v="5614"/>
    <n v="8724"/>
    <n v="1935"/>
    <n v="0"/>
    <n v="10659"/>
    <n v="1122"/>
    <n v="0"/>
    <m/>
    <m/>
    <n v="0"/>
    <n v="0"/>
    <m/>
    <m/>
    <m/>
    <m/>
    <m/>
    <m/>
    <m/>
    <m/>
    <m/>
    <m/>
    <m/>
    <m/>
  </r>
  <r>
    <x v="13"/>
    <s v="Texas State Technical College-Waco"/>
    <s v="Met criteria for Two-Year 1 in 2009-10 and 2010-11."/>
    <n v="228680"/>
    <x v="7"/>
    <n v="149225"/>
    <n v="163434"/>
    <n v="127340"/>
    <n v="143272"/>
    <n v="15446"/>
    <n v="8499"/>
    <n v="6409"/>
    <n v="0"/>
    <n v="30"/>
    <n v="11663"/>
    <n v="0"/>
    <n v="0"/>
    <m/>
    <m/>
    <n v="0"/>
    <n v="0"/>
    <m/>
    <m/>
    <m/>
    <m/>
    <m/>
    <m/>
    <m/>
    <m/>
    <m/>
    <m/>
    <m/>
    <m/>
  </r>
  <r>
    <x v="13"/>
    <s v="Trinity Valley Community College"/>
    <s v="Met criteria for Two-Year 1 in 2009-10 and 2010-11."/>
    <n v="225308"/>
    <x v="7"/>
    <n v="144332"/>
    <n v="166114"/>
    <n v="84464"/>
    <n v="94853"/>
    <n v="36797"/>
    <n v="43587"/>
    <n v="20923"/>
    <n v="2148"/>
    <n v="0"/>
    <n v="26840"/>
    <n v="834"/>
    <n v="0"/>
    <m/>
    <m/>
    <n v="0"/>
    <n v="0"/>
    <m/>
    <m/>
    <m/>
    <m/>
    <m/>
    <m/>
    <m/>
    <m/>
    <m/>
    <m/>
    <m/>
    <m/>
  </r>
  <r>
    <x v="13"/>
    <s v="Vernon College "/>
    <m/>
    <n v="229504"/>
    <x v="7"/>
    <n v="63948"/>
    <n v="67813"/>
    <n v="8763"/>
    <n v="9311"/>
    <n v="29946"/>
    <n v="31700"/>
    <n v="18289"/>
    <n v="6950"/>
    <n v="0"/>
    <n v="20532"/>
    <n v="6270"/>
    <n v="0"/>
    <m/>
    <m/>
    <n v="0"/>
    <n v="0"/>
    <m/>
    <m/>
    <m/>
    <m/>
    <m/>
    <m/>
    <m/>
    <m/>
    <m/>
    <m/>
    <m/>
    <m/>
  </r>
  <r>
    <x v="13"/>
    <s v="Victoria College "/>
    <m/>
    <n v="229540"/>
    <x v="7"/>
    <n v="75188"/>
    <n v="81880"/>
    <n v="48298"/>
    <n v="55839"/>
    <n v="5643"/>
    <n v="5672"/>
    <n v="18155"/>
    <n v="3092"/>
    <n v="0"/>
    <n v="16617"/>
    <n v="3752"/>
    <n v="0"/>
    <m/>
    <m/>
    <n v="0"/>
    <n v="0"/>
    <m/>
    <m/>
    <m/>
    <m/>
    <m/>
    <m/>
    <m/>
    <m/>
    <m/>
    <m/>
    <m/>
    <m/>
  </r>
  <r>
    <x v="13"/>
    <s v="Weatherford College "/>
    <m/>
    <n v="229799"/>
    <x v="7"/>
    <n v="105461"/>
    <n v="116501"/>
    <n v="77932"/>
    <n v="83333"/>
    <n v="10840"/>
    <n v="12257"/>
    <n v="14976"/>
    <n v="1713"/>
    <n v="0"/>
    <n v="20575"/>
    <n v="336"/>
    <n v="0"/>
    <m/>
    <m/>
    <n v="0"/>
    <n v="0"/>
    <m/>
    <m/>
    <m/>
    <m/>
    <m/>
    <m/>
    <m/>
    <m/>
    <m/>
    <m/>
    <m/>
    <m/>
  </r>
  <r>
    <x v="13"/>
    <s v="Wharton County Junior College "/>
    <m/>
    <n v="229841"/>
    <x v="7"/>
    <n v="131186"/>
    <n v="145528"/>
    <n v="42637"/>
    <n v="48270"/>
    <n v="70062"/>
    <n v="75606"/>
    <n v="15438"/>
    <n v="3049"/>
    <n v="0"/>
    <n v="18772"/>
    <n v="2880"/>
    <n v="0"/>
    <m/>
    <m/>
    <n v="0"/>
    <n v="0"/>
    <m/>
    <m/>
    <m/>
    <m/>
    <m/>
    <m/>
    <m/>
    <m/>
    <m/>
    <m/>
    <m/>
    <m/>
  </r>
  <r>
    <x v="13"/>
    <s v="Clarendon College "/>
    <m/>
    <n v="223922"/>
    <x v="8"/>
    <n v="30286"/>
    <n v="35116"/>
    <n v="11333"/>
    <n v="11447"/>
    <n v="12520"/>
    <n v="14515"/>
    <n v="6000"/>
    <n v="425"/>
    <n v="8"/>
    <n v="8487"/>
    <n v="654"/>
    <n v="13"/>
    <m/>
    <m/>
    <n v="0"/>
    <n v="0"/>
    <m/>
    <m/>
    <m/>
    <m/>
    <m/>
    <m/>
    <m/>
    <m/>
    <m/>
    <m/>
    <m/>
    <m/>
  </r>
  <r>
    <x v="13"/>
    <s v="Frank Phillips College "/>
    <m/>
    <n v="224891"/>
    <x v="8"/>
    <n v="24940"/>
    <n v="25567"/>
    <n v="17703"/>
    <n v="19199"/>
    <n v="1405"/>
    <n v="1479"/>
    <n v="2440"/>
    <n v="0"/>
    <n v="3392"/>
    <n v="1989"/>
    <n v="0"/>
    <n v="2900"/>
    <m/>
    <m/>
    <n v="0"/>
    <n v="0"/>
    <m/>
    <m/>
    <m/>
    <m/>
    <m/>
    <m/>
    <m/>
    <m/>
    <m/>
    <m/>
    <m/>
    <m/>
  </r>
  <r>
    <x v="13"/>
    <s v="Galveston College "/>
    <m/>
    <n v="224961"/>
    <x v="8"/>
    <n v="39651"/>
    <n v="46278"/>
    <n v="39286"/>
    <n v="45591"/>
    <n v="0"/>
    <n v="305"/>
    <n v="365"/>
    <n v="0"/>
    <n v="0"/>
    <n v="382"/>
    <n v="0"/>
    <n v="0"/>
    <m/>
    <m/>
    <n v="0"/>
    <n v="0"/>
    <m/>
    <m/>
    <m/>
    <m/>
    <m/>
    <m/>
    <m/>
    <m/>
    <m/>
    <m/>
    <m/>
    <m/>
  </r>
  <r>
    <x v="13"/>
    <s v="Lamar State College-Orange"/>
    <m/>
    <n v="226107"/>
    <x v="8"/>
    <n v="44460"/>
    <n v="53594"/>
    <n v="38320"/>
    <n v="47495"/>
    <n v="1656"/>
    <n v="0"/>
    <n v="4484"/>
    <n v="0"/>
    <n v="0"/>
    <n v="6099"/>
    <n v="0"/>
    <n v="0"/>
    <m/>
    <m/>
    <n v="0"/>
    <n v="0"/>
    <m/>
    <m/>
    <m/>
    <m/>
    <m/>
    <m/>
    <m/>
    <m/>
    <m/>
    <m/>
    <m/>
    <m/>
  </r>
  <r>
    <x v="13"/>
    <s v="Lamar State College-Port Arthur"/>
    <s v="Met the criteria for Two-Year 2 in 2010-11."/>
    <n v="226116"/>
    <x v="8"/>
    <n v="43158"/>
    <n v="50934"/>
    <n v="34484"/>
    <n v="40162"/>
    <n v="5537"/>
    <n v="5413"/>
    <n v="3137"/>
    <n v="0"/>
    <n v="0"/>
    <n v="5359"/>
    <n v="0"/>
    <n v="0"/>
    <m/>
    <m/>
    <n v="0"/>
    <n v="0"/>
    <m/>
    <m/>
    <m/>
    <m/>
    <m/>
    <m/>
    <m/>
    <m/>
    <m/>
    <m/>
    <m/>
    <m/>
  </r>
  <r>
    <x v="13"/>
    <s v="Northeast Lakeview College (ACCD)"/>
    <m/>
    <n v="222992"/>
    <x v="8"/>
    <n v="10161"/>
    <n v="13983"/>
    <n v="9643"/>
    <n v="13281"/>
    <n v="0"/>
    <n v="0"/>
    <n v="518"/>
    <n v="0"/>
    <n v="0"/>
    <n v="702"/>
    <n v="0"/>
    <n v="0"/>
    <m/>
    <m/>
    <n v="0"/>
    <n v="0"/>
    <m/>
    <m/>
    <m/>
    <m/>
    <m/>
    <m/>
    <m/>
    <m/>
    <m/>
    <m/>
    <m/>
    <m/>
  </r>
  <r>
    <x v="13"/>
    <s v="Northeast Texas Community College "/>
    <s v="Met criteria for Two-Year 2 in 2009-10 and 2010-11."/>
    <n v="227225"/>
    <x v="8"/>
    <n v="59189"/>
    <n v="69750"/>
    <n v="50054"/>
    <n v="58103"/>
    <n v="927"/>
    <n v="1080"/>
    <n v="8193"/>
    <n v="15"/>
    <n v="0"/>
    <n v="10420"/>
    <n v="54"/>
    <n v="93"/>
    <m/>
    <m/>
    <n v="0"/>
    <n v="0"/>
    <m/>
    <m/>
    <m/>
    <m/>
    <m/>
    <m/>
    <m/>
    <m/>
    <m/>
    <m/>
    <m/>
    <m/>
  </r>
  <r>
    <x v="13"/>
    <s v="Panola College"/>
    <m/>
    <n v="227386"/>
    <x v="8"/>
    <n v="43235"/>
    <n v="47697"/>
    <n v="23627"/>
    <n v="25964"/>
    <n v="7830"/>
    <n v="8198"/>
    <n v="10650"/>
    <n v="1128"/>
    <n v="0"/>
    <n v="12025"/>
    <n v="1510"/>
    <n v="0"/>
    <m/>
    <m/>
    <n v="0"/>
    <n v="0"/>
    <m/>
    <m/>
    <m/>
    <m/>
    <m/>
    <m/>
    <m/>
    <m/>
    <m/>
    <m/>
    <m/>
    <m/>
  </r>
  <r>
    <x v="13"/>
    <s v="Ranger College "/>
    <m/>
    <n v="227687"/>
    <x v="8"/>
    <n v="18727"/>
    <n v="26592"/>
    <n v="10677"/>
    <n v="11005"/>
    <n v="6710"/>
    <n v="10096"/>
    <n v="806"/>
    <n v="534"/>
    <n v="0"/>
    <n v="3932"/>
    <n v="1493"/>
    <n v="66"/>
    <m/>
    <m/>
    <n v="0"/>
    <n v="0"/>
    <m/>
    <m/>
    <m/>
    <m/>
    <m/>
    <m/>
    <m/>
    <m/>
    <m/>
    <m/>
    <m/>
    <m/>
  </r>
  <r>
    <x v="13"/>
    <s v="Southwest Collegiate Institute for the Deaf (HCJCD)"/>
    <m/>
    <n v="382911"/>
    <x v="8"/>
    <n v="2141"/>
    <n v="2067"/>
    <n v="2135"/>
    <n v="2004"/>
    <n v="6"/>
    <n v="0"/>
    <n v="0"/>
    <n v="0"/>
    <n v="0"/>
    <n v="45"/>
    <n v="0"/>
    <n v="18"/>
    <m/>
    <m/>
    <n v="0"/>
    <n v="0"/>
    <m/>
    <m/>
    <m/>
    <m/>
    <m/>
    <m/>
    <m/>
    <m/>
    <m/>
    <m/>
    <m/>
    <m/>
  </r>
  <r>
    <x v="13"/>
    <s v="Texas State Technical College-Marshall"/>
    <m/>
    <n v="408394"/>
    <x v="8"/>
    <n v="21188"/>
    <n v="23775"/>
    <n v="12860"/>
    <n v="15272"/>
    <n v="1566"/>
    <n v="1222"/>
    <n v="6762"/>
    <n v="0"/>
    <n v="0"/>
    <n v="7281"/>
    <n v="0"/>
    <n v="0"/>
    <m/>
    <m/>
    <n v="0"/>
    <n v="0"/>
    <m/>
    <m/>
    <m/>
    <m/>
    <m/>
    <m/>
    <m/>
    <m/>
    <m/>
    <m/>
    <m/>
    <m/>
  </r>
  <r>
    <x v="13"/>
    <s v="Texas State Technical College-West Texas"/>
    <m/>
    <n v="229328"/>
    <x v="8"/>
    <n v="43840"/>
    <n v="38675"/>
    <n v="9456"/>
    <n v="11530"/>
    <n v="11164"/>
    <n v="8032"/>
    <n v="21348"/>
    <n v="1035"/>
    <n v="837"/>
    <n v="19104"/>
    <n v="9"/>
    <n v="0"/>
    <m/>
    <m/>
    <n v="0"/>
    <n v="0"/>
    <m/>
    <m/>
    <m/>
    <m/>
    <m/>
    <m/>
    <m/>
    <m/>
    <m/>
    <m/>
    <m/>
    <m/>
  </r>
  <r>
    <x v="13"/>
    <s v="Western Texas College "/>
    <m/>
    <n v="229832"/>
    <x v="8"/>
    <n v="45714"/>
    <n v="47076"/>
    <n v="12706"/>
    <n v="12932"/>
    <n v="8672"/>
    <n v="8828"/>
    <n v="19287"/>
    <n v="4668"/>
    <n v="381"/>
    <n v="19628"/>
    <n v="5592"/>
    <n v="96"/>
    <m/>
    <m/>
    <n v="0"/>
    <n v="0"/>
    <m/>
    <m/>
    <m/>
    <m/>
    <m/>
    <m/>
    <m/>
    <m/>
    <m/>
    <m/>
    <m/>
    <m/>
  </r>
  <r>
    <x v="13"/>
    <s v="Texas A &amp; M University - Central Texas"/>
    <s v="New fall 2009. Met the criteria for Four-Year 4 in 2010-11."/>
    <m/>
    <x v="12"/>
    <n v="9877"/>
    <n v="31104"/>
    <n v="0"/>
    <n v="19069"/>
    <n v="8383"/>
    <n v="2718"/>
    <n v="1281"/>
    <n v="213"/>
    <n v="0"/>
    <n v="8919"/>
    <n v="398"/>
    <n v="0"/>
    <m/>
    <m/>
    <n v="3560"/>
    <n v="12184"/>
    <n v="0"/>
    <n v="9961"/>
    <n v="3467"/>
    <n v="264"/>
    <n v="93"/>
    <n v="0"/>
    <n v="0"/>
    <n v="1959"/>
    <n v="0"/>
    <n v="0"/>
    <m/>
    <m/>
  </r>
  <r>
    <x v="13"/>
    <s v="Texas A &amp; M University - San Antonio"/>
    <s v="New fall 2009. Met the criteria for Four-Year 5 in 2010-11."/>
    <s v="870501"/>
    <x v="12"/>
    <n v="16090"/>
    <n v="46866"/>
    <n v="15973"/>
    <n v="45537"/>
    <n v="0"/>
    <n v="306"/>
    <n v="108"/>
    <n v="9"/>
    <n v="0"/>
    <n v="1023"/>
    <n v="0"/>
    <n v="0"/>
    <m/>
    <m/>
    <n v="3913"/>
    <n v="12635"/>
    <n v="3913"/>
    <n v="12463"/>
    <n v="0"/>
    <n v="0"/>
    <n v="0"/>
    <n v="0"/>
    <n v="0"/>
    <n v="172"/>
    <n v="0"/>
    <n v="0"/>
    <m/>
    <m/>
  </r>
  <r>
    <x v="13"/>
    <s v="University of North Texas at Dallas"/>
    <s v="New fall 2009. No degrees yet granted."/>
    <m/>
    <x v="12"/>
    <n v="12575"/>
    <n v="27801"/>
    <n v="12179"/>
    <n v="27657"/>
    <n v="396"/>
    <n v="144"/>
    <n v="0"/>
    <n v="0"/>
    <n v="0"/>
    <n v="0"/>
    <n v="0"/>
    <n v="0"/>
    <m/>
    <m/>
    <n v="1704"/>
    <n v="4498"/>
    <n v="1428"/>
    <n v="4090"/>
    <n v="237"/>
    <n v="312"/>
    <n v="0"/>
    <n v="39"/>
    <n v="0"/>
    <n v="0"/>
    <n v="96"/>
    <n v="0"/>
    <m/>
    <m/>
  </r>
  <r>
    <x v="14"/>
    <s v="George Mason University "/>
    <m/>
    <n v="232186"/>
    <x v="0"/>
    <n v="0"/>
    <n v="546706.5"/>
    <m/>
    <n v="521158"/>
    <m/>
    <n v="11373.5"/>
    <m/>
    <m/>
    <m/>
    <n v="13560"/>
    <n v="615"/>
    <n v="0"/>
    <m/>
    <m/>
    <n v="0"/>
    <n v="170127.99999999889"/>
    <m/>
    <n v="136925.399999999"/>
    <m/>
    <n v="23855.5999999999"/>
    <m/>
    <m/>
    <m/>
    <n v="7947.5"/>
    <n v="1399.5"/>
    <n v="0"/>
    <m/>
    <n v="0"/>
  </r>
  <r>
    <x v="14"/>
    <s v="Old Dominion University "/>
    <m/>
    <n v="232982"/>
    <x v="0"/>
    <n v="0"/>
    <n v="484643"/>
    <m/>
    <n v="424035"/>
    <m/>
    <n v="423"/>
    <m/>
    <m/>
    <m/>
    <n v="25379"/>
    <n v="34806"/>
    <n v="0"/>
    <m/>
    <m/>
    <n v="0"/>
    <n v="78185"/>
    <m/>
    <n v="53943"/>
    <m/>
    <n v="1906"/>
    <m/>
    <m/>
    <m/>
    <n v="10525"/>
    <n v="11811"/>
    <n v="0"/>
    <m/>
    <n v="0"/>
  </r>
  <r>
    <x v="14"/>
    <s v="University of Virginia"/>
    <m/>
    <n v="234076"/>
    <x v="0"/>
    <n v="0"/>
    <n v="462973"/>
    <m/>
    <n v="418800"/>
    <m/>
    <n v="41409"/>
    <m/>
    <m/>
    <m/>
    <n v="2764"/>
    <n v="0"/>
    <n v="0"/>
    <m/>
    <m/>
    <n v="0"/>
    <n v="202178.899999999"/>
    <m/>
    <n v="172639.899999999"/>
    <m/>
    <n v="20521"/>
    <m/>
    <m/>
    <m/>
    <n v="8112"/>
    <n v="906"/>
    <n v="0"/>
    <m/>
    <n v="0"/>
  </r>
  <r>
    <x v="14"/>
    <s v="Virginia Tech "/>
    <m/>
    <n v="233921"/>
    <x v="0"/>
    <n v="0"/>
    <n v="745331"/>
    <m/>
    <n v="735345"/>
    <m/>
    <n v="398"/>
    <m/>
    <m/>
    <m/>
    <n v="8610"/>
    <n v="978"/>
    <n v="0"/>
    <m/>
    <m/>
    <n v="0"/>
    <n v="145263"/>
    <m/>
    <n v="109969"/>
    <m/>
    <n v="20486"/>
    <m/>
    <m/>
    <m/>
    <n v="10227"/>
    <n v="4581"/>
    <n v="0"/>
    <m/>
    <n v="0"/>
  </r>
  <r>
    <x v="14"/>
    <s v="College of William &amp; Mary"/>
    <m/>
    <n v="231624"/>
    <x v="1"/>
    <n v="0"/>
    <n v="169436.5"/>
    <m/>
    <n v="168765.5"/>
    <m/>
    <n v="671"/>
    <m/>
    <m/>
    <m/>
    <n v="0"/>
    <n v="0"/>
    <n v="0"/>
    <m/>
    <m/>
    <n v="0"/>
    <n v="54173"/>
    <m/>
    <n v="50819"/>
    <m/>
    <n v="3354"/>
    <m/>
    <m/>
    <m/>
    <n v="0"/>
    <n v="0"/>
    <n v="0"/>
    <m/>
    <n v="0"/>
  </r>
  <r>
    <x v="14"/>
    <s v="Virginia Commonwealth University"/>
    <m/>
    <n v="234030"/>
    <x v="1"/>
    <n v="0"/>
    <n v="648362.5"/>
    <m/>
    <n v="624894.5"/>
    <m/>
    <n v="7888"/>
    <m/>
    <m/>
    <m/>
    <n v="15580"/>
    <n v="0"/>
    <n v="0"/>
    <m/>
    <m/>
    <n v="0"/>
    <n v="146465.5"/>
    <m/>
    <n v="121330.5"/>
    <m/>
    <n v="17085"/>
    <m/>
    <m/>
    <m/>
    <n v="8050"/>
    <n v="0"/>
    <n v="0"/>
    <m/>
    <n v="0"/>
  </r>
  <r>
    <x v="14"/>
    <s v="James Madison University"/>
    <m/>
    <n v="232423"/>
    <x v="2"/>
    <n v="0"/>
    <n v="522097"/>
    <m/>
    <n v="505528"/>
    <m/>
    <n v="7300"/>
    <m/>
    <m/>
    <m/>
    <n v="9269"/>
    <n v="0"/>
    <n v="0"/>
    <m/>
    <m/>
    <n v="0"/>
    <n v="32972"/>
    <m/>
    <n v="26752"/>
    <m/>
    <n v="2910"/>
    <m/>
    <m/>
    <m/>
    <n v="3300"/>
    <n v="10"/>
    <n v="0"/>
    <m/>
    <n v="0"/>
  </r>
  <r>
    <x v="14"/>
    <s v="Norfolk State University "/>
    <m/>
    <n v="232937"/>
    <x v="2"/>
    <n v="0"/>
    <n v="145531"/>
    <m/>
    <n v="136041"/>
    <m/>
    <n v="0"/>
    <m/>
    <m/>
    <m/>
    <n v="9490"/>
    <n v="0"/>
    <n v="0"/>
    <m/>
    <m/>
    <n v="0"/>
    <n v="12457"/>
    <m/>
    <n v="11578"/>
    <m/>
    <n v="0"/>
    <m/>
    <m/>
    <m/>
    <n v="879"/>
    <n v="0"/>
    <n v="0"/>
    <m/>
    <n v="0"/>
  </r>
  <r>
    <x v="14"/>
    <s v="Radford University"/>
    <m/>
    <n v="233277"/>
    <x v="3"/>
    <n v="0"/>
    <n v="235610"/>
    <m/>
    <n v="227686"/>
    <m/>
    <n v="5953"/>
    <m/>
    <m/>
    <m/>
    <n v="1257"/>
    <n v="714"/>
    <n v="0"/>
    <m/>
    <m/>
    <n v="0"/>
    <n v="19948"/>
    <m/>
    <n v="15503"/>
    <m/>
    <n v="3207"/>
    <m/>
    <m/>
    <m/>
    <n v="317"/>
    <n v="921"/>
    <n v="0"/>
    <m/>
    <n v="0"/>
  </r>
  <r>
    <x v="14"/>
    <s v="Virginia State University "/>
    <m/>
    <n v="234155"/>
    <x v="3"/>
    <n v="0"/>
    <n v="152509"/>
    <m/>
    <n v="148062"/>
    <m/>
    <n v="2916"/>
    <m/>
    <m/>
    <m/>
    <n v="1531"/>
    <n v="0"/>
    <n v="0"/>
    <m/>
    <m/>
    <n v="0"/>
    <n v="9563"/>
    <m/>
    <n v="7526"/>
    <m/>
    <n v="1788"/>
    <m/>
    <m/>
    <m/>
    <n v="249"/>
    <n v="0"/>
    <n v="0"/>
    <m/>
    <n v="0"/>
  </r>
  <r>
    <x v="14"/>
    <s v="Christopher Newport University"/>
    <m/>
    <n v="231712"/>
    <x v="4"/>
    <n v="0"/>
    <n v="138094"/>
    <m/>
    <n v="136161"/>
    <m/>
    <n v="345"/>
    <m/>
    <m/>
    <m/>
    <n v="1588"/>
    <n v="0"/>
    <n v="0"/>
    <m/>
    <m/>
    <n v="0"/>
    <n v="4215"/>
    <m/>
    <n v="4119"/>
    <m/>
    <n v="96"/>
    <m/>
    <m/>
    <m/>
    <n v="0"/>
    <n v="0"/>
    <n v="0"/>
    <m/>
    <n v="0"/>
  </r>
  <r>
    <x v="14"/>
    <s v="Longwood University "/>
    <s v="Reclassified: met criteria for SREB Four-Year 4 in 2008-09, 2009-10 and 2010-11."/>
    <n v="232566"/>
    <x v="3"/>
    <n v="0"/>
    <n v="124398"/>
    <m/>
    <n v="116807"/>
    <m/>
    <n v="768"/>
    <m/>
    <m/>
    <m/>
    <n v="6823"/>
    <n v="0"/>
    <n v="0"/>
    <m/>
    <m/>
    <n v="0"/>
    <n v="8191"/>
    <m/>
    <n v="4299"/>
    <m/>
    <n v="2981"/>
    <m/>
    <m/>
    <m/>
    <n v="911"/>
    <n v="0"/>
    <n v="0"/>
    <m/>
    <n v="0"/>
  </r>
  <r>
    <x v="14"/>
    <s v="University of Mary Washington "/>
    <m/>
    <n v="232681"/>
    <x v="4"/>
    <n v="0"/>
    <n v="126229"/>
    <m/>
    <n v="122084"/>
    <m/>
    <n v="0"/>
    <m/>
    <m/>
    <m/>
    <n v="4022"/>
    <n v="123"/>
    <n v="0"/>
    <m/>
    <m/>
    <n v="0"/>
    <n v="10857"/>
    <m/>
    <n v="9170"/>
    <m/>
    <n v="0"/>
    <m/>
    <m/>
    <m/>
    <n v="1687"/>
    <n v="0"/>
    <n v="0"/>
    <m/>
    <n v="0"/>
  </r>
  <r>
    <x v="14"/>
    <s v="University of Virginia's College at Wise "/>
    <m/>
    <n v="233897"/>
    <x v="5"/>
    <n v="0"/>
    <n v="50690.3"/>
    <m/>
    <n v="48171.3"/>
    <m/>
    <n v="499"/>
    <m/>
    <m/>
    <m/>
    <n v="2020"/>
    <n v="0"/>
    <n v="0"/>
    <m/>
    <m/>
    <n v="0"/>
    <n v="0"/>
    <m/>
    <n v="0"/>
    <m/>
    <n v="0"/>
    <m/>
    <m/>
    <m/>
    <n v="0"/>
    <n v="0"/>
    <n v="0"/>
    <m/>
    <n v="0"/>
  </r>
  <r>
    <x v="14"/>
    <s v="J.S. Reynolds Community College"/>
    <m/>
    <n v="232414"/>
    <x v="6"/>
    <n v="0"/>
    <n v="244230"/>
    <m/>
    <n v="172158"/>
    <m/>
    <n v="15398"/>
    <m/>
    <m/>
    <m/>
    <n v="56524"/>
    <n v="150"/>
    <n v="0"/>
    <m/>
    <m/>
    <n v="0"/>
    <n v="0"/>
    <m/>
    <n v="0"/>
    <m/>
    <n v="0"/>
    <m/>
    <m/>
    <m/>
    <n v="0"/>
    <n v="0"/>
    <n v="0"/>
    <m/>
    <n v="0"/>
  </r>
  <r>
    <x v="14"/>
    <s v="Northern Virginia Community College "/>
    <m/>
    <n v="232946"/>
    <x v="6"/>
    <n v="0"/>
    <n v="1001401"/>
    <m/>
    <n v="735603"/>
    <m/>
    <n v="55892"/>
    <m/>
    <m/>
    <m/>
    <n v="204659"/>
    <n v="5247"/>
    <n v="0"/>
    <m/>
    <m/>
    <n v="0"/>
    <n v="0"/>
    <m/>
    <n v="0"/>
    <m/>
    <n v="0"/>
    <m/>
    <m/>
    <m/>
    <n v="0"/>
    <n v="0"/>
    <n v="0"/>
    <m/>
    <n v="0"/>
  </r>
  <r>
    <x v="14"/>
    <s v="Thomas Nelson Community College "/>
    <m/>
    <n v="233754"/>
    <x v="6"/>
    <n v="0"/>
    <n v="204930"/>
    <m/>
    <n v="149305"/>
    <m/>
    <n v="17013"/>
    <m/>
    <m/>
    <m/>
    <n v="38173"/>
    <n v="439"/>
    <n v="0"/>
    <m/>
    <m/>
    <n v="0"/>
    <n v="0"/>
    <m/>
    <n v="0"/>
    <m/>
    <n v="0"/>
    <m/>
    <m/>
    <m/>
    <n v="0"/>
    <n v="0"/>
    <n v="0"/>
    <m/>
    <n v="0"/>
  </r>
  <r>
    <x v="14"/>
    <s v="Tidewater Community College "/>
    <m/>
    <n v="233772"/>
    <x v="6"/>
    <n v="0"/>
    <n v="657783"/>
    <m/>
    <n v="443134"/>
    <m/>
    <n v="44119"/>
    <m/>
    <m/>
    <m/>
    <n v="170530"/>
    <n v="0"/>
    <n v="0"/>
    <m/>
    <m/>
    <n v="0"/>
    <n v="0"/>
    <m/>
    <n v="0"/>
    <m/>
    <n v="0"/>
    <m/>
    <m/>
    <m/>
    <n v="0"/>
    <n v="0"/>
    <n v="0"/>
    <m/>
    <n v="0"/>
  </r>
  <r>
    <x v="14"/>
    <s v="Blue Ridge Community College "/>
    <m/>
    <n v="231536"/>
    <x v="7"/>
    <n v="0"/>
    <n v="94850"/>
    <m/>
    <n v="56418"/>
    <m/>
    <n v="12609"/>
    <m/>
    <m/>
    <m/>
    <n v="25823"/>
    <n v="0"/>
    <n v="0"/>
    <m/>
    <m/>
    <n v="0"/>
    <n v="0"/>
    <m/>
    <n v="0"/>
    <m/>
    <n v="0"/>
    <m/>
    <m/>
    <m/>
    <n v="0"/>
    <n v="0"/>
    <n v="0"/>
    <m/>
    <n v="0"/>
  </r>
  <r>
    <x v="14"/>
    <s v="Central Virginia Community College "/>
    <m/>
    <n v="231697"/>
    <x v="7"/>
    <n v="0"/>
    <n v="88313"/>
    <m/>
    <n v="54003"/>
    <m/>
    <n v="17498"/>
    <m/>
    <m/>
    <m/>
    <n v="12808"/>
    <n v="4004"/>
    <n v="0"/>
    <m/>
    <m/>
    <n v="0"/>
    <n v="0"/>
    <m/>
    <n v="0"/>
    <m/>
    <n v="0"/>
    <m/>
    <m/>
    <m/>
    <n v="0"/>
    <n v="0"/>
    <n v="0"/>
    <m/>
    <n v="0"/>
  </r>
  <r>
    <x v="14"/>
    <s v="Danville Community College "/>
    <m/>
    <n v="231882"/>
    <x v="7"/>
    <n v="0"/>
    <n v="88812"/>
    <m/>
    <n v="58317"/>
    <m/>
    <n v="20500"/>
    <m/>
    <m/>
    <m/>
    <n v="9382"/>
    <n v="613"/>
    <n v="0"/>
    <m/>
    <m/>
    <n v="0"/>
    <n v="0"/>
    <m/>
    <n v="0"/>
    <m/>
    <n v="0"/>
    <m/>
    <m/>
    <m/>
    <n v="0"/>
    <n v="0"/>
    <n v="0"/>
    <m/>
    <n v="0"/>
  </r>
  <r>
    <x v="14"/>
    <s v="Germanna Community College"/>
    <m/>
    <n v="232195"/>
    <x v="7"/>
    <n v="0"/>
    <n v="131957"/>
    <m/>
    <n v="81676"/>
    <m/>
    <n v="16152"/>
    <m/>
    <m/>
    <m/>
    <n v="21591"/>
    <n v="12538"/>
    <n v="0"/>
    <m/>
    <m/>
    <n v="0"/>
    <n v="0"/>
    <m/>
    <n v="0"/>
    <m/>
    <n v="0"/>
    <m/>
    <m/>
    <m/>
    <n v="0"/>
    <n v="0"/>
    <n v="0"/>
    <m/>
    <n v="0"/>
  </r>
  <r>
    <x v="14"/>
    <s v="John Tyler Community College"/>
    <m/>
    <n v="232450"/>
    <x v="7"/>
    <n v="0"/>
    <n v="181574"/>
    <m/>
    <n v="120678"/>
    <m/>
    <n v="20587"/>
    <m/>
    <m/>
    <m/>
    <n v="40107"/>
    <n v="202"/>
    <n v="0"/>
    <m/>
    <m/>
    <n v="0"/>
    <n v="0"/>
    <m/>
    <n v="0"/>
    <m/>
    <n v="0"/>
    <m/>
    <m/>
    <m/>
    <n v="0"/>
    <n v="0"/>
    <n v="0"/>
    <m/>
    <n v="0"/>
  </r>
  <r>
    <x v="14"/>
    <s v="Lord Fairfax Community College"/>
    <m/>
    <n v="232575"/>
    <x v="7"/>
    <n v="0"/>
    <n v="117744"/>
    <m/>
    <n v="72683"/>
    <m/>
    <n v="18552"/>
    <m/>
    <m/>
    <m/>
    <n v="18969"/>
    <n v="7540"/>
    <n v="0"/>
    <m/>
    <m/>
    <n v="0"/>
    <n v="0"/>
    <m/>
    <n v="0"/>
    <m/>
    <n v="0"/>
    <m/>
    <m/>
    <m/>
    <n v="0"/>
    <n v="0"/>
    <n v="0"/>
    <m/>
    <n v="0"/>
  </r>
  <r>
    <x v="14"/>
    <s v="New River Community College "/>
    <m/>
    <n v="232867"/>
    <x v="7"/>
    <n v="0"/>
    <n v="101175"/>
    <m/>
    <n v="42150"/>
    <m/>
    <n v="30343"/>
    <m/>
    <m/>
    <m/>
    <n v="28244"/>
    <n v="438"/>
    <n v="0"/>
    <m/>
    <m/>
    <n v="0"/>
    <n v="0"/>
    <m/>
    <n v="0"/>
    <m/>
    <n v="0"/>
    <m/>
    <m/>
    <m/>
    <n v="0"/>
    <n v="0"/>
    <n v="0"/>
    <m/>
    <n v="0"/>
  </r>
  <r>
    <x v="14"/>
    <s v="Piedmont Virginia Community College "/>
    <m/>
    <n v="233116"/>
    <x v="7"/>
    <n v="0"/>
    <n v="88143"/>
    <m/>
    <n v="63828"/>
    <m/>
    <n v="11644"/>
    <m/>
    <m/>
    <m/>
    <n v="12671"/>
    <n v="0"/>
    <n v="0"/>
    <m/>
    <m/>
    <n v="0"/>
    <n v="0"/>
    <m/>
    <n v="0"/>
    <m/>
    <n v="0"/>
    <m/>
    <m/>
    <m/>
    <n v="0"/>
    <n v="0"/>
    <n v="0"/>
    <m/>
    <n v="0"/>
  </r>
  <r>
    <x v="14"/>
    <s v="Southside Virginia Community College"/>
    <m/>
    <n v="233639"/>
    <x v="7"/>
    <n v="0"/>
    <n v="115613"/>
    <m/>
    <n v="32261"/>
    <m/>
    <n v="55544"/>
    <m/>
    <m/>
    <m/>
    <n v="26485"/>
    <n v="1323"/>
    <n v="0"/>
    <m/>
    <m/>
    <n v="0"/>
    <n v="0"/>
    <m/>
    <n v="0"/>
    <m/>
    <n v="0"/>
    <m/>
    <m/>
    <m/>
    <n v="0"/>
    <n v="0"/>
    <n v="0"/>
    <m/>
    <n v="0"/>
  </r>
  <r>
    <x v="14"/>
    <s v="Southwest Virginia Community College "/>
    <m/>
    <n v="233648"/>
    <x v="7"/>
    <n v="0"/>
    <n v="75145"/>
    <m/>
    <n v="29666"/>
    <m/>
    <n v="23308"/>
    <m/>
    <m/>
    <m/>
    <n v="18796"/>
    <n v="3375"/>
    <n v="0"/>
    <m/>
    <m/>
    <n v="0"/>
    <n v="0"/>
    <m/>
    <n v="0"/>
    <m/>
    <n v="0"/>
    <m/>
    <m/>
    <m/>
    <n v="0"/>
    <n v="0"/>
    <n v="0"/>
    <m/>
    <n v="0"/>
  </r>
  <r>
    <x v="14"/>
    <s v="Virginia Western Community College "/>
    <s v="Met the criteria for Two-Year 1 in 2010-11."/>
    <n v="233949"/>
    <x v="7"/>
    <n v="0"/>
    <n v="147852"/>
    <m/>
    <n v="97067"/>
    <m/>
    <n v="22641"/>
    <m/>
    <m/>
    <m/>
    <n v="21467"/>
    <n v="6677"/>
    <n v="0"/>
    <m/>
    <m/>
    <n v="0"/>
    <n v="0"/>
    <m/>
    <n v="0"/>
    <m/>
    <n v="0"/>
    <m/>
    <m/>
    <m/>
    <n v="0"/>
    <n v="0"/>
    <n v="0"/>
    <m/>
    <n v="0"/>
  </r>
  <r>
    <x v="14"/>
    <s v="D.S. Lancaster Community College "/>
    <m/>
    <n v="231873"/>
    <x v="8"/>
    <n v="0"/>
    <n v="26089"/>
    <m/>
    <n v="9774"/>
    <m/>
    <n v="5978"/>
    <m/>
    <m/>
    <m/>
    <n v="2487"/>
    <n v="7850"/>
    <n v="0"/>
    <m/>
    <m/>
    <n v="0"/>
    <n v="0"/>
    <m/>
    <n v="0"/>
    <m/>
    <n v="0"/>
    <m/>
    <m/>
    <m/>
    <n v="0"/>
    <n v="0"/>
    <n v="0"/>
    <m/>
    <n v="0"/>
  </r>
  <r>
    <x v="14"/>
    <s v="Eastern Shore Community College"/>
    <m/>
    <n v="232052"/>
    <x v="8"/>
    <n v="0"/>
    <n v="20534"/>
    <m/>
    <n v="14384"/>
    <m/>
    <n v="2661"/>
    <m/>
    <m/>
    <m/>
    <n v="3489"/>
    <n v="0"/>
    <n v="0"/>
    <m/>
    <m/>
    <n v="0"/>
    <n v="0"/>
    <m/>
    <n v="0"/>
    <m/>
    <n v="0"/>
    <m/>
    <m/>
    <m/>
    <n v="0"/>
    <n v="0"/>
    <n v="0"/>
    <m/>
    <n v="0"/>
  </r>
  <r>
    <x v="14"/>
    <s v="Mountain Empire Community College"/>
    <s v="Met the criteria for Two-Year 2 in 2010-11."/>
    <n v="232788"/>
    <x v="8"/>
    <n v="0"/>
    <n v="65947"/>
    <m/>
    <n v="29771"/>
    <m/>
    <n v="10524"/>
    <m/>
    <m/>
    <m/>
    <n v="23917"/>
    <n v="1735"/>
    <n v="0"/>
    <m/>
    <m/>
    <n v="0"/>
    <n v="0"/>
    <m/>
    <n v="0"/>
    <m/>
    <n v="0"/>
    <m/>
    <m/>
    <m/>
    <n v="0"/>
    <n v="0"/>
    <n v="0"/>
    <m/>
    <n v="0"/>
  </r>
  <r>
    <x v="14"/>
    <s v="Patrick Henry Community College "/>
    <s v="Met the criteria for Two-Year 2 in 2009-10 and 2010-11."/>
    <n v="233019"/>
    <x v="8"/>
    <n v="0"/>
    <n v="76247"/>
    <m/>
    <n v="40582"/>
    <m/>
    <n v="12047"/>
    <m/>
    <m/>
    <m/>
    <n v="22539"/>
    <n v="1079"/>
    <n v="0"/>
    <m/>
    <m/>
    <n v="0"/>
    <n v="0"/>
    <m/>
    <n v="0"/>
    <m/>
    <n v="0"/>
    <m/>
    <m/>
    <m/>
    <n v="0"/>
    <n v="0"/>
    <n v="0"/>
    <m/>
    <n v="0"/>
  </r>
  <r>
    <x v="14"/>
    <s v="Paul D. Camp Community College"/>
    <m/>
    <n v="233037"/>
    <x v="8"/>
    <n v="0"/>
    <n v="30751"/>
    <m/>
    <n v="17424"/>
    <m/>
    <n v="5763"/>
    <m/>
    <m/>
    <m/>
    <n v="6406"/>
    <n v="1158"/>
    <n v="0"/>
    <m/>
    <m/>
    <n v="0"/>
    <n v="0"/>
    <m/>
    <n v="0"/>
    <m/>
    <n v="0"/>
    <m/>
    <m/>
    <m/>
    <n v="0"/>
    <n v="0"/>
    <n v="0"/>
    <m/>
    <n v="0"/>
  </r>
  <r>
    <x v="14"/>
    <s v="Rappahannock Community College"/>
    <m/>
    <n v="233310"/>
    <x v="8"/>
    <n v="0"/>
    <n v="58268"/>
    <m/>
    <n v="16725"/>
    <m/>
    <n v="16035"/>
    <m/>
    <m/>
    <m/>
    <n v="12884"/>
    <n v="12624"/>
    <n v="0"/>
    <m/>
    <m/>
    <n v="0"/>
    <n v="0"/>
    <m/>
    <n v="0"/>
    <m/>
    <n v="0"/>
    <m/>
    <m/>
    <m/>
    <n v="0"/>
    <n v="0"/>
    <n v="0"/>
    <m/>
    <n v="0"/>
  </r>
  <r>
    <x v="14"/>
    <s v="Richard Bland College "/>
    <m/>
    <n v="233338"/>
    <x v="8"/>
    <n v="0"/>
    <n v="35209"/>
    <m/>
    <n v="32786"/>
    <m/>
    <n v="1572"/>
    <m/>
    <m/>
    <m/>
    <n v="851"/>
    <n v="0"/>
    <n v="0"/>
    <m/>
    <m/>
    <n v="0"/>
    <n v="0"/>
    <m/>
    <n v="0"/>
    <m/>
    <n v="0"/>
    <m/>
    <m/>
    <m/>
    <n v="0"/>
    <n v="0"/>
    <n v="0"/>
    <m/>
    <n v="0"/>
  </r>
  <r>
    <x v="14"/>
    <s v="Virginia Highlands Community College "/>
    <m/>
    <n v="233903"/>
    <x v="8"/>
    <n v="0"/>
    <n v="56123"/>
    <m/>
    <n v="34830"/>
    <m/>
    <n v="7037"/>
    <m/>
    <m/>
    <m/>
    <n v="11977"/>
    <n v="2279"/>
    <n v="0"/>
    <m/>
    <m/>
    <n v="0"/>
    <n v="0"/>
    <m/>
    <n v="0"/>
    <m/>
    <n v="0"/>
    <m/>
    <m/>
    <m/>
    <n v="0"/>
    <n v="0"/>
    <n v="0"/>
    <m/>
    <n v="0"/>
  </r>
  <r>
    <x v="14"/>
    <s v="Wytheville Community College "/>
    <s v="Met the criteria for Two-Year 2 in 2009-10 and 2010-11."/>
    <n v="234377"/>
    <x v="8"/>
    <n v="0"/>
    <n v="74124"/>
    <m/>
    <n v="18220"/>
    <m/>
    <n v="22192"/>
    <m/>
    <m/>
    <m/>
    <n v="29253"/>
    <n v="4459"/>
    <n v="0"/>
    <m/>
    <m/>
    <n v="0"/>
    <n v="0"/>
    <m/>
    <n v="0"/>
    <m/>
    <n v="0"/>
    <m/>
    <m/>
    <m/>
    <n v="0"/>
    <n v="0"/>
    <n v="0"/>
    <m/>
    <n v="0"/>
  </r>
  <r>
    <x v="15"/>
    <s v="West Virginia University"/>
    <m/>
    <n v="238032"/>
    <x v="0"/>
    <n v="643635"/>
    <n v="650374"/>
    <n v="603992"/>
    <n v="606693"/>
    <n v="700"/>
    <n v="1175"/>
    <n v="36497"/>
    <n v="15"/>
    <n v="2431"/>
    <n v="39902"/>
    <m/>
    <n v="2604"/>
    <n v="0"/>
    <m/>
    <n v="112343"/>
    <n v="112337"/>
    <n v="75674"/>
    <n v="74358"/>
    <n v="10214"/>
    <n v="10645"/>
    <n v="22972"/>
    <n v="3003"/>
    <n v="480"/>
    <n v="24476"/>
    <n v="2395"/>
    <n v="463"/>
    <n v="0"/>
    <m/>
  </r>
  <r>
    <x v="15"/>
    <s v="Marshall University "/>
    <m/>
    <n v="237525"/>
    <x v="2"/>
    <n v="254769"/>
    <n v="268026"/>
    <n v="209775"/>
    <n v="218335"/>
    <n v="13594"/>
    <n v="14845"/>
    <n v="31169"/>
    <n v="231"/>
    <n v="0"/>
    <n v="34600"/>
    <n v="246"/>
    <m/>
    <n v="0"/>
    <m/>
    <n v="55755"/>
    <n v="55610"/>
    <n v="18135"/>
    <n v="18341"/>
    <n v="24664"/>
    <n v="24862"/>
    <n v="12077"/>
    <n v="879"/>
    <n v="0"/>
    <n v="11933"/>
    <n v="474"/>
    <m/>
    <n v="0"/>
    <m/>
  </r>
  <r>
    <x v="15"/>
    <s v="Fairmont State University"/>
    <m/>
    <n v="237367"/>
    <x v="4"/>
    <n v="115602"/>
    <n v="120046"/>
    <n v="88480"/>
    <n v="91278"/>
    <n v="14107"/>
    <n v="14672"/>
    <n v="13015"/>
    <n v="0"/>
    <n v="0"/>
    <n v="14096"/>
    <m/>
    <m/>
    <n v="0"/>
    <m/>
    <n v="5478"/>
    <n v="5087"/>
    <n v="1450"/>
    <n v="1281"/>
    <n v="0"/>
    <m/>
    <n v="4028"/>
    <n v="0"/>
    <n v="0"/>
    <n v="3806"/>
    <m/>
    <m/>
    <n v="0"/>
    <m/>
  </r>
  <r>
    <x v="15"/>
    <s v="Bluefield State College "/>
    <m/>
    <n v="237215"/>
    <x v="5"/>
    <n v="54284"/>
    <n v="56036"/>
    <n v="34197"/>
    <n v="34354"/>
    <n v="3558"/>
    <n v="2743"/>
    <n v="13943"/>
    <n v="2577"/>
    <n v="9"/>
    <n v="16285"/>
    <n v="2654"/>
    <m/>
    <n v="0"/>
    <m/>
    <n v="0"/>
    <n v="0"/>
    <m/>
    <m/>
    <m/>
    <m/>
    <m/>
    <m/>
    <m/>
    <m/>
    <m/>
    <m/>
    <m/>
    <m/>
  </r>
  <r>
    <x v="15"/>
    <s v="Concord University "/>
    <m/>
    <n v="237330"/>
    <x v="5"/>
    <n v="80430"/>
    <n v="80188"/>
    <n v="68289"/>
    <n v="65734"/>
    <n v="9617"/>
    <n v="10548"/>
    <n v="2248"/>
    <n v="276"/>
    <n v="0"/>
    <n v="3248"/>
    <n v="400"/>
    <n v="258"/>
    <n v="0"/>
    <m/>
    <n v="1971"/>
    <n v="2898"/>
    <n v="156"/>
    <n v="165"/>
    <n v="267"/>
    <n v="342"/>
    <n v="1548"/>
    <n v="0"/>
    <n v="0"/>
    <n v="2391"/>
    <m/>
    <m/>
    <n v="0"/>
    <m/>
  </r>
  <r>
    <x v="15"/>
    <s v="Glenville State College "/>
    <m/>
    <n v="237385"/>
    <x v="5"/>
    <n v="40111"/>
    <n v="44658"/>
    <n v="33052"/>
    <n v="34424"/>
    <n v="3854"/>
    <n v="4693"/>
    <n v="3205"/>
    <n v="0"/>
    <n v="0"/>
    <n v="5541"/>
    <m/>
    <m/>
    <n v="0"/>
    <m/>
    <n v="0"/>
    <n v="0"/>
    <m/>
    <m/>
    <m/>
    <m/>
    <m/>
    <m/>
    <m/>
    <m/>
    <m/>
    <m/>
    <m/>
    <m/>
  </r>
  <r>
    <x v="15"/>
    <s v="Shepherd University "/>
    <s v="Reclassified: met the criteria for Four-Year 5 in 2008-09, 2009-10 and 2010-11."/>
    <n v="237792"/>
    <x v="4"/>
    <n v="107734"/>
    <n v="109161"/>
    <n v="106202"/>
    <n v="107461"/>
    <n v="0"/>
    <m/>
    <n v="1532"/>
    <n v="0"/>
    <n v="0"/>
    <n v="1700"/>
    <m/>
    <m/>
    <n v="0"/>
    <m/>
    <n v="3547"/>
    <n v="3486"/>
    <n v="3538"/>
    <n v="3132"/>
    <n v="0"/>
    <m/>
    <n v="9"/>
    <n v="0"/>
    <n v="0"/>
    <n v="354"/>
    <m/>
    <m/>
    <n v="0"/>
    <m/>
  </r>
  <r>
    <x v="15"/>
    <s v="West Liberty University"/>
    <m/>
    <n v="237932"/>
    <x v="5"/>
    <n v="72217"/>
    <n v="76144"/>
    <n v="67458"/>
    <n v="67505"/>
    <n v="2534"/>
    <n v="4721"/>
    <n v="2225"/>
    <n v="0"/>
    <n v="0"/>
    <n v="3918"/>
    <m/>
    <m/>
    <n v="0"/>
    <m/>
    <n v="618"/>
    <n v="1122"/>
    <n v="3"/>
    <n v="51"/>
    <n v="615"/>
    <n v="1071"/>
    <n v="0"/>
    <n v="0"/>
    <n v="0"/>
    <m/>
    <m/>
    <m/>
    <n v="0"/>
    <m/>
  </r>
  <r>
    <x v="15"/>
    <s v="West Virginia State University "/>
    <m/>
    <n v="237899"/>
    <x v="5"/>
    <n v="75949"/>
    <n v="76697"/>
    <n v="70128"/>
    <n v="68122"/>
    <n v="2169"/>
    <n v="2359"/>
    <n v="3652"/>
    <n v="0"/>
    <n v="0"/>
    <n v="6216"/>
    <m/>
    <m/>
    <n v="0"/>
    <m/>
    <n v="618"/>
    <n v="757"/>
    <n v="618"/>
    <n v="757"/>
    <n v="0"/>
    <m/>
    <n v="0"/>
    <n v="0"/>
    <n v="0"/>
    <m/>
    <m/>
    <m/>
    <n v="0"/>
    <m/>
  </r>
  <r>
    <x v="15"/>
    <s v="West Virginia University Institute of Technology"/>
    <m/>
    <n v="237950"/>
    <x v="5"/>
    <n v="31616"/>
    <n v="32269"/>
    <n v="28861"/>
    <n v="29837"/>
    <n v="552"/>
    <n v="936"/>
    <n v="2121"/>
    <n v="0"/>
    <n v="82"/>
    <n v="1496"/>
    <m/>
    <m/>
    <n v="0"/>
    <m/>
    <n v="0"/>
    <n v="0"/>
    <m/>
    <m/>
    <m/>
    <m/>
    <m/>
    <m/>
    <m/>
    <m/>
    <m/>
    <m/>
    <m/>
    <m/>
  </r>
  <r>
    <x v="15"/>
    <s v="Potomac State College of West Virginia University"/>
    <m/>
    <n v="237701"/>
    <x v="11"/>
    <n v="40545"/>
    <n v="44503"/>
    <n v="36171"/>
    <n v="39718"/>
    <n v="3335"/>
    <n v="3084"/>
    <n v="1036"/>
    <n v="0"/>
    <n v="3"/>
    <n v="1701"/>
    <m/>
    <m/>
    <n v="0"/>
    <m/>
    <n v="0"/>
    <n v="0"/>
    <m/>
    <m/>
    <m/>
    <m/>
    <m/>
    <m/>
    <m/>
    <m/>
    <m/>
    <m/>
    <m/>
    <m/>
  </r>
  <r>
    <x v="15"/>
    <s v="West Virginia University at Parkersburg"/>
    <m/>
    <n v="237686"/>
    <x v="11"/>
    <n v="93550"/>
    <n v="105288"/>
    <n v="58188"/>
    <n v="63066"/>
    <n v="14527"/>
    <n v="16754"/>
    <n v="19458"/>
    <n v="0"/>
    <n v="1377"/>
    <n v="24240"/>
    <m/>
    <n v="1228"/>
    <n v="0"/>
    <m/>
    <n v="0"/>
    <n v="0"/>
    <m/>
    <m/>
    <m/>
    <m/>
    <m/>
    <m/>
    <m/>
    <m/>
    <m/>
    <m/>
    <m/>
    <m/>
  </r>
  <r>
    <x v="15"/>
    <s v="Blue Ridge Community &amp; Technical College"/>
    <m/>
    <n v="446774"/>
    <x v="8"/>
    <n v="40415"/>
    <n v="51702"/>
    <n v="27747"/>
    <n v="26465"/>
    <n v="6387"/>
    <n v="16456"/>
    <n v="6194"/>
    <n v="0"/>
    <n v="0"/>
    <n v="8445"/>
    <m/>
    <m/>
    <n v="87"/>
    <n v="336"/>
    <n v="0"/>
    <n v="0"/>
    <m/>
    <m/>
    <m/>
    <m/>
    <m/>
    <m/>
    <m/>
    <m/>
    <m/>
    <m/>
    <m/>
    <m/>
  </r>
  <r>
    <x v="15"/>
    <s v="Bridgemont Community &amp; Technical College"/>
    <m/>
    <n v="445674"/>
    <x v="8"/>
    <n v="16666"/>
    <n v="17510"/>
    <n v="14028"/>
    <n v="13773"/>
    <n v="766"/>
    <n v="730"/>
    <n v="1857"/>
    <n v="0"/>
    <n v="15"/>
    <n v="3007"/>
    <m/>
    <m/>
    <n v="0"/>
    <m/>
    <n v="0"/>
    <n v="0"/>
    <m/>
    <m/>
    <m/>
    <m/>
    <m/>
    <m/>
    <m/>
    <m/>
    <m/>
    <m/>
    <m/>
    <m/>
  </r>
  <r>
    <x v="15"/>
    <s v="Eastern West Virginia Community &amp; Technical College"/>
    <m/>
    <n v="438708"/>
    <x v="8"/>
    <n v="8901"/>
    <n v="10754"/>
    <n v="4146"/>
    <n v="6168"/>
    <n v="2405"/>
    <n v="2071"/>
    <n v="2065"/>
    <n v="285"/>
    <n v="0"/>
    <n v="2449"/>
    <n v="66"/>
    <m/>
    <n v="0"/>
    <m/>
    <n v="0"/>
    <n v="0"/>
    <m/>
    <m/>
    <m/>
    <m/>
    <m/>
    <m/>
    <m/>
    <m/>
    <m/>
    <m/>
    <m/>
    <m/>
  </r>
  <r>
    <x v="15"/>
    <s v="Kanawha Valley Community &amp; Technical College"/>
    <m/>
    <n v="445018"/>
    <x v="8"/>
    <n v="37468"/>
    <n v="36892"/>
    <n v="32838"/>
    <n v="31293"/>
    <n v="1299"/>
    <n v="1767"/>
    <n v="3331"/>
    <n v="0"/>
    <n v="0"/>
    <n v="3832"/>
    <m/>
    <m/>
    <n v="0"/>
    <m/>
    <n v="6"/>
    <n v="0"/>
    <n v="6"/>
    <m/>
    <n v="0"/>
    <m/>
    <n v="0"/>
    <n v="0"/>
    <n v="0"/>
    <m/>
    <m/>
    <m/>
    <n v="0"/>
    <m/>
  </r>
  <r>
    <x v="15"/>
    <s v="Mountwest Community &amp; Technical College"/>
    <s v="Formerly Marshall Community &amp; Technical College"/>
    <n v="444954"/>
    <x v="8"/>
    <n v="56020"/>
    <n v="57724"/>
    <n v="30678"/>
    <n v="30220"/>
    <n v="19414"/>
    <n v="17057"/>
    <n v="5922"/>
    <n v="6"/>
    <n v="0"/>
    <n v="10447"/>
    <m/>
    <m/>
    <n v="0"/>
    <m/>
    <n v="0"/>
    <n v="0"/>
    <m/>
    <m/>
    <m/>
    <m/>
    <m/>
    <m/>
    <m/>
    <m/>
    <m/>
    <m/>
    <m/>
    <m/>
  </r>
  <r>
    <x v="15"/>
    <s v="New River Community &amp; Technical College"/>
    <s v="Met criteria for Two-Year 2 in 2010-11."/>
    <n v="447582"/>
    <x v="8"/>
    <n v="56743"/>
    <n v="66980"/>
    <n v="20579"/>
    <n v="43791"/>
    <n v="23021"/>
    <n v="5903"/>
    <n v="10374"/>
    <n v="2715"/>
    <n v="54"/>
    <n v="13126"/>
    <n v="4124"/>
    <n v="36"/>
    <n v="0"/>
    <m/>
    <n v="0"/>
    <n v="0"/>
    <m/>
    <m/>
    <m/>
    <m/>
    <m/>
    <m/>
    <m/>
    <m/>
    <m/>
    <m/>
    <m/>
    <m/>
  </r>
  <r>
    <x v="15"/>
    <s v="Pierpont Community &amp; Technical College"/>
    <s v="Met criteria for Two-Year 2 in 2010-11."/>
    <n v="443492"/>
    <x v="8"/>
    <n v="59426"/>
    <n v="65108"/>
    <n v="32313"/>
    <n v="34513"/>
    <n v="20648"/>
    <n v="23070"/>
    <n v="6465"/>
    <n v="0"/>
    <n v="0"/>
    <n v="7525"/>
    <m/>
    <m/>
    <n v="0"/>
    <m/>
    <n v="0"/>
    <n v="0"/>
    <m/>
    <m/>
    <m/>
    <m/>
    <m/>
    <m/>
    <m/>
    <m/>
    <m/>
    <m/>
    <m/>
    <m/>
  </r>
  <r>
    <x v="15"/>
    <s v="Southern West Virginia Community &amp; Technical College "/>
    <m/>
    <n v="237817"/>
    <x v="8"/>
    <n v="50791"/>
    <n v="51996"/>
    <n v="37691"/>
    <n v="38961"/>
    <n v="4148"/>
    <n v="3577"/>
    <n v="5072"/>
    <n v="3784"/>
    <n v="96"/>
    <n v="6090"/>
    <n v="3368"/>
    <m/>
    <n v="0"/>
    <m/>
    <n v="0"/>
    <n v="0"/>
    <m/>
    <m/>
    <m/>
    <m/>
    <m/>
    <m/>
    <m/>
    <m/>
    <m/>
    <m/>
    <m/>
    <m/>
  </r>
  <r>
    <x v="15"/>
    <s v="West Virginia Northern Community College"/>
    <s v="Met the critieria for Two-Year 2 in 2009-10 and 2010-11."/>
    <n v="238014"/>
    <x v="8"/>
    <n v="65954"/>
    <n v="76666"/>
    <n v="56730"/>
    <n v="64578"/>
    <n v="0"/>
    <m/>
    <n v="6424"/>
    <n v="2800"/>
    <n v="0"/>
    <n v="9569"/>
    <n v="2519"/>
    <m/>
    <n v="0"/>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4" dataOnRows="1" applyNumberFormats="0" applyBorderFormats="0" applyFontFormats="0" applyPatternFormats="0" applyAlignmentFormats="0" applyWidthHeightFormats="1" dataCaption="Data" updatedVersion="3" showMemberPropertyTips="0" useAutoFormatting="1" colGrandTotals="0" itemPrintTitles="1" createdVersion="1" indent="0" compact="0" compactData="0" gridDropZones="1">
  <location ref="A3:R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6">
        <item x="0"/>
        <item x="1"/>
        <item x="2"/>
        <item x="3"/>
        <item x="4"/>
        <item x="5"/>
        <item x="11"/>
        <item x="6"/>
        <item x="7"/>
        <item x="8"/>
        <item x="9"/>
        <item x="10"/>
        <item x="13"/>
        <item h="1" m="1" x="15"/>
        <item m="1" x="14"/>
        <item h="1" x="12"/>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6">
        <item n="Four-Year" x="2"/>
        <item n="Two-Year" x="1"/>
        <item n="Technical" x="3"/>
        <item h="1" x="0"/>
        <item h="1" x="4"/>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33"/>
    <field x="4"/>
  </colFields>
  <colItems count="16">
    <i>
      <x/>
      <x/>
    </i>
    <i r="1">
      <x v="1"/>
    </i>
    <i r="1">
      <x v="2"/>
    </i>
    <i r="1">
      <x v="3"/>
    </i>
    <i r="1">
      <x v="4"/>
    </i>
    <i r="1">
      <x v="5"/>
    </i>
    <i r="1">
      <x v="12"/>
    </i>
    <i t="default">
      <x/>
    </i>
    <i>
      <x v="1"/>
      <x v="6"/>
    </i>
    <i r="1">
      <x v="7"/>
    </i>
    <i r="1">
      <x v="8"/>
    </i>
    <i r="1">
      <x v="9"/>
    </i>
    <i t="default">
      <x v="1"/>
    </i>
    <i>
      <x v="2"/>
      <x v="10"/>
    </i>
    <i r="1">
      <x v="11"/>
    </i>
    <i t="default">
      <x v="2"/>
    </i>
  </colItems>
  <dataFields count="36">
    <dataField name=" Old %UG OnC Trad" fld="34" baseField="0" baseItem="0"/>
    <dataField name=" New %UG OnC Trad" fld="35" baseField="0" baseItem="0"/>
    <dataField name=" Change %UG OnC Trad" fld="58" baseField="0" baseItem="0" numFmtId="167"/>
    <dataField name=" Old %UG OffC Trad" fld="37" baseField="0" baseItem="0"/>
    <dataField name=" New %UG OffC Trad" fld="36" baseField="0" baseItem="0"/>
    <dataField name=" Change %UG OffC Trad" fld="61" baseField="0" baseItem="0"/>
    <dataField name=" Old %UG EL Web" fld="42" baseField="0" baseItem="0"/>
    <dataField name=" New %UG EL Web" fld="43" baseField="0" baseItem="0"/>
    <dataField name=" Change %UG EL Web" fld="62" baseField="0" baseItem="0"/>
    <dataField name=" Old %UG EL CV" fld="49" baseField="0" baseItem="0"/>
    <dataField name=" New %UG EL CV" fld="48" baseField="0" baseItem="0"/>
    <dataField name=" Change %UG EL CV" fld="65" baseField="0" baseItem="0"/>
    <dataField name=" Old %UG EL O" fld="50" baseField="0" baseItem="0"/>
    <dataField name=" New %UG EL O" fld="51" baseField="0" baseItem="0"/>
    <dataField name=" Change %UG EL O" fld="66" baseField="0" baseItem="0"/>
    <dataField name=" Old %UG Cor" fld="57" baseField="0" baseItem="0"/>
    <dataField name=" New %UG Cor" fld="56" baseField="0" baseItem="0"/>
    <dataField name=" Change %UG Cor" fld="69" baseField="0" baseItem="0"/>
    <dataField name=" Old %G OnC Trad" fld="39" baseField="0" baseItem="0"/>
    <dataField name=" New %G OnC Trad" fld="40" baseField="0" baseItem="0"/>
    <dataField name=" Change %G OnC Trad" fld="59" baseField="0" baseItem="0"/>
    <dataField name=" Old %G OffC Trad" fld="38" baseField="0" baseItem="0"/>
    <dataField name=" New %G OffC Trad" fld="41" baseField="0" baseItem="0"/>
    <dataField name=" Change %G OffC Trad" fld="60" baseField="0" baseItem="0"/>
    <dataField name=" Old %G EL Web" fld="45" baseField="0" baseItem="0"/>
    <dataField name=" New %G EL Web" fld="44" baseField="0" baseItem="0"/>
    <dataField name=" Change %G EL Web" fld="63" baseField="0" baseItem="0"/>
    <dataField name=" Old %G EL CV" fld="46" baseField="0" baseItem="0"/>
    <dataField name=" New %G EL CV" fld="47" baseField="0" baseItem="0"/>
    <dataField name=" Change %G EL CV" fld="64" baseField="0" baseItem="0"/>
    <dataField name=" Old %G EL O" fld="53" baseField="0" baseItem="0"/>
    <dataField name=" New %G EL O" fld="52" baseField="0" baseItem="0"/>
    <dataField name=" Change %G EL O" fld="67" baseField="0" baseItem="0"/>
    <dataField name=" Old %G Cor" fld="54" baseField="0" baseItem="0"/>
    <dataField name=" New %G Cor" fld="55" baseField="0" baseItem="0"/>
    <dataField name=" Change %G Cor" fld="68" baseField="0" baseItem="0"/>
  </dataFields>
  <formats count="553">
    <format dxfId="1280">
      <pivotArea field="4" type="button" dataOnly="0" labelOnly="1" outline="0" axis="axisCol" fieldPosition="1"/>
    </format>
    <format dxfId="1279">
      <pivotArea type="topRight" dataOnly="0" labelOnly="1" outline="0" fieldPosition="0"/>
    </format>
    <format dxfId="1278">
      <pivotArea dataOnly="0" labelOnly="1" grandCol="1" outline="0" fieldPosition="0"/>
    </format>
    <format dxfId="1277">
      <pivotArea outline="0" fieldPosition="0"/>
    </format>
    <format dxfId="1276">
      <pivotArea dataOnly="0" labelOnly="1" outline="0" offset="IV256" fieldPosition="0">
        <references count="1">
          <reference field="0" count="1">
            <x v="7"/>
          </reference>
        </references>
      </pivotArea>
    </format>
    <format dxfId="1275">
      <pivotArea dataOnly="0" labelOnly="1" outline="0" offset="IV256" fieldPosition="0">
        <references count="1">
          <reference field="0" count="1">
            <x v="8"/>
          </reference>
        </references>
      </pivotArea>
    </format>
    <format dxfId="1274">
      <pivotArea dataOnly="0" labelOnly="1" outline="0" offset="IV256" fieldPosition="0">
        <references count="1">
          <reference field="0" count="1">
            <x v="9"/>
          </reference>
        </references>
      </pivotArea>
    </format>
    <format dxfId="1273">
      <pivotArea dataOnly="0" labelOnly="1" outline="0" offset="IV256" fieldPosition="0">
        <references count="1">
          <reference field="0" count="1">
            <x v="10"/>
          </reference>
        </references>
      </pivotArea>
    </format>
    <format dxfId="1272">
      <pivotArea dataOnly="0" labelOnly="1" outline="0" offset="IV256" fieldPosition="0">
        <references count="1">
          <reference field="0" count="1">
            <x v="11"/>
          </reference>
        </references>
      </pivotArea>
    </format>
    <format dxfId="1271">
      <pivotArea dataOnly="0" labelOnly="1" outline="0" offset="IV256" fieldPosition="0">
        <references count="1">
          <reference field="0" count="1">
            <x v="12"/>
          </reference>
        </references>
      </pivotArea>
    </format>
    <format dxfId="1270">
      <pivotArea dataOnly="0" labelOnly="1" outline="0" offset="IV256" fieldPosition="0">
        <references count="1">
          <reference field="0" count="1">
            <x v="13"/>
          </reference>
        </references>
      </pivotArea>
    </format>
    <format dxfId="1269">
      <pivotArea dataOnly="0" labelOnly="1" outline="0" fieldPosition="0">
        <references count="1">
          <reference field="0" count="0"/>
        </references>
      </pivotArea>
    </format>
    <format dxfId="1268">
      <pivotArea dataOnly="0" labelOnly="1" outline="0" offset="IV1" fieldPosition="0">
        <references count="1">
          <reference field="0" count="1">
            <x v="0"/>
          </reference>
        </references>
      </pivotArea>
    </format>
    <format dxfId="1267">
      <pivotArea type="origin" dataOnly="0" labelOnly="1" outline="0" fieldPosition="0"/>
    </format>
    <format dxfId="1266">
      <pivotArea field="0" type="button" dataOnly="0" labelOnly="1" outline="0" axis="axisRow" fieldPosition="0"/>
    </format>
    <format dxfId="1265">
      <pivotArea field="-2" type="button" dataOnly="0" labelOnly="1" outline="0" axis="axisRow" fieldPosition="1"/>
    </format>
    <format dxfId="1264">
      <pivotArea field="4" type="button" dataOnly="0" labelOnly="1" outline="0" axis="axisCol" fieldPosition="1"/>
    </format>
    <format dxfId="1263">
      <pivotArea type="topRight" dataOnly="0" labelOnly="1" outline="0" fieldPosition="0"/>
    </format>
    <format dxfId="1262">
      <pivotArea dataOnly="0" labelOnly="1" outline="0" offset="IV5:IV6" fieldPosition="0">
        <references count="1">
          <reference field="0" count="1">
            <x v="1"/>
          </reference>
        </references>
      </pivotArea>
    </format>
    <format dxfId="1261">
      <pivotArea dataOnly="0" labelOnly="1" outline="0" offset="IV7:IV8" fieldPosition="0">
        <references count="1">
          <reference field="0" count="1">
            <x v="1"/>
          </reference>
        </references>
      </pivotArea>
    </format>
    <format dxfId="1260">
      <pivotArea dataOnly="0" labelOnly="1" outline="0" offset="IV9:IV10" fieldPosition="0">
        <references count="1">
          <reference field="0" count="1">
            <x v="1"/>
          </reference>
        </references>
      </pivotArea>
    </format>
    <format dxfId="1259">
      <pivotArea dataOnly="0" labelOnly="1" outline="0" offset="IV11:IV12" fieldPosition="0">
        <references count="1">
          <reference field="0" count="1">
            <x v="1"/>
          </reference>
        </references>
      </pivotArea>
    </format>
    <format dxfId="1258">
      <pivotArea dataOnly="0" labelOnly="1" outline="0" offset="IV5:IV12" fieldPosition="0">
        <references count="1">
          <reference field="0" count="1">
            <x v="1"/>
          </reference>
        </references>
      </pivotArea>
    </format>
    <format dxfId="1257">
      <pivotArea dataOnly="0" labelOnly="1" outline="0" offset="IV256" fieldPosition="0">
        <references count="1">
          <reference field="0" count="1">
            <x v="0"/>
          </reference>
        </references>
      </pivotArea>
    </format>
    <format dxfId="1256">
      <pivotArea dataOnly="0" labelOnly="1" grandCol="1" outline="0" offset="IV256" fieldPosition="0"/>
    </format>
    <format dxfId="1255">
      <pivotArea dataOnly="0" labelOnly="1" outline="0" fieldPosition="0">
        <references count="2">
          <reference field="4294967294" count="1">
            <x v="2"/>
          </reference>
          <reference field="0" count="1" selected="0">
            <x v="0"/>
          </reference>
        </references>
      </pivotArea>
    </format>
    <format dxfId="1254">
      <pivotArea dataOnly="0" labelOnly="1" outline="0" fieldPosition="0">
        <references count="2">
          <reference field="4294967294" count="1">
            <x v="5"/>
          </reference>
          <reference field="0" count="1" selected="0">
            <x v="1"/>
          </reference>
        </references>
      </pivotArea>
    </format>
    <format dxfId="1253">
      <pivotArea dataOnly="0" labelOnly="1" outline="0" fieldPosition="0">
        <references count="2">
          <reference field="4294967294" count="1">
            <x v="8"/>
          </reference>
          <reference field="0" count="1" selected="0">
            <x v="1"/>
          </reference>
        </references>
      </pivotArea>
    </format>
    <format dxfId="1252">
      <pivotArea dataOnly="0" labelOnly="1" outline="0" fieldPosition="0">
        <references count="2">
          <reference field="4294967294" count="1">
            <x v="11"/>
          </reference>
          <reference field="0" count="1" selected="0">
            <x v="1"/>
          </reference>
        </references>
      </pivotArea>
    </format>
    <format dxfId="1251">
      <pivotArea dataOnly="0" labelOnly="1" outline="0" fieldPosition="0">
        <references count="2">
          <reference field="4294967294" count="1">
            <x v="14"/>
          </reference>
          <reference field="0" count="1" selected="0">
            <x v="1"/>
          </reference>
        </references>
      </pivotArea>
    </format>
    <format dxfId="1250">
      <pivotArea dataOnly="0" labelOnly="1" outline="0" fieldPosition="0">
        <references count="2">
          <reference field="4294967294" count="1">
            <x v="17"/>
          </reference>
          <reference field="0" count="1" selected="0">
            <x v="1"/>
          </reference>
        </references>
      </pivotArea>
    </format>
    <format dxfId="1249">
      <pivotArea dataOnly="0" labelOnly="1" outline="0" fieldPosition="0">
        <references count="2">
          <reference field="4294967294" count="1">
            <x v="20"/>
          </reference>
          <reference field="0" count="1" selected="0">
            <x v="1"/>
          </reference>
        </references>
      </pivotArea>
    </format>
    <format dxfId="1248">
      <pivotArea dataOnly="0" labelOnly="1" outline="0" fieldPosition="0">
        <references count="2">
          <reference field="4294967294" count="1">
            <x v="23"/>
          </reference>
          <reference field="0" count="1" selected="0">
            <x v="1"/>
          </reference>
        </references>
      </pivotArea>
    </format>
    <format dxfId="1247">
      <pivotArea dataOnly="0" labelOnly="1" outline="0" fieldPosition="0">
        <references count="2">
          <reference field="4294967294" count="1">
            <x v="26"/>
          </reference>
          <reference field="0" count="1" selected="0">
            <x v="1"/>
          </reference>
        </references>
      </pivotArea>
    </format>
    <format dxfId="1246">
      <pivotArea dataOnly="0" labelOnly="1" outline="0" fieldPosition="0">
        <references count="2">
          <reference field="4294967294" count="1">
            <x v="29"/>
          </reference>
          <reference field="0" count="1" selected="0">
            <x v="1"/>
          </reference>
        </references>
      </pivotArea>
    </format>
    <format dxfId="1245">
      <pivotArea dataOnly="0" labelOnly="1" outline="0" fieldPosition="0">
        <references count="2">
          <reference field="4294967294" count="1">
            <x v="32"/>
          </reference>
          <reference field="0" count="1" selected="0">
            <x v="1"/>
          </reference>
        </references>
      </pivotArea>
    </format>
    <format dxfId="1244">
      <pivotArea dataOnly="0" labelOnly="1" outline="0" fieldPosition="0">
        <references count="2">
          <reference field="4294967294" count="1">
            <x v="35"/>
          </reference>
          <reference field="0" count="1" selected="0">
            <x v="1"/>
          </reference>
        </references>
      </pivotArea>
    </format>
    <format dxfId="1243">
      <pivotArea outline="0" fieldPosition="0">
        <references count="2">
          <reference field="4294967294" count="1" selected="0">
            <x v="35"/>
          </reference>
          <reference field="0" count="1" selected="0">
            <x v="1"/>
          </reference>
        </references>
      </pivotArea>
    </format>
    <format dxfId="1242">
      <pivotArea outline="0" fieldPosition="0">
        <references count="3">
          <reference field="4294967294" count="1" selected="0">
            <x v="34"/>
          </reference>
          <reference field="0" count="1" selected="0">
            <x v="0"/>
          </reference>
          <reference field="33" count="1" selected="0" defaultSubtotal="1">
            <x v="0"/>
          </reference>
        </references>
      </pivotArea>
    </format>
    <format dxfId="1241">
      <pivotArea outline="0" fieldPosition="0">
        <references count="4">
          <reference field="4294967294" count="3" selected="0">
            <x v="24"/>
            <x v="25"/>
            <x v="26"/>
          </reference>
          <reference field="0" count="1" selected="0">
            <x v="10"/>
          </reference>
          <reference field="4" count="1" selected="0">
            <x v="0"/>
          </reference>
          <reference field="33" count="1" selected="0">
            <x v="0"/>
          </reference>
        </references>
      </pivotArea>
    </format>
    <format dxfId="1240">
      <pivotArea outline="0" fieldPosition="0">
        <references count="2">
          <reference field="4294967294" count="1" selected="0">
            <x v="2"/>
          </reference>
          <reference field="0" count="1" selected="0">
            <x v="0"/>
          </reference>
        </references>
      </pivotArea>
    </format>
    <format dxfId="1239">
      <pivotArea outline="0" fieldPosition="0">
        <references count="4">
          <reference field="4294967294" count="1" selected="0">
            <x v="5"/>
          </reference>
          <reference field="0" count="1" selected="0">
            <x v="1"/>
          </reference>
          <reference field="4" count="1" selected="0">
            <x v="1"/>
          </reference>
          <reference field="33" count="1" selected="0">
            <x v="0"/>
          </reference>
        </references>
      </pivotArea>
    </format>
    <format dxfId="1238">
      <pivotArea outline="0" fieldPosition="0">
        <references count="4">
          <reference field="4294967294" count="1" selected="0">
            <x v="8"/>
          </reference>
          <reference field="0" count="1" selected="0">
            <x v="1"/>
          </reference>
          <reference field="4" count="1" selected="0">
            <x v="1"/>
          </reference>
          <reference field="33" count="1" selected="0">
            <x v="0"/>
          </reference>
        </references>
      </pivotArea>
    </format>
    <format dxfId="1237">
      <pivotArea outline="0" fieldPosition="0">
        <references count="4">
          <reference field="4294967294" count="1" selected="0">
            <x v="11"/>
          </reference>
          <reference field="0" count="1" selected="0">
            <x v="1"/>
          </reference>
          <reference field="4" count="1" selected="0">
            <x v="1"/>
          </reference>
          <reference field="33" count="1" selected="0">
            <x v="0"/>
          </reference>
        </references>
      </pivotArea>
    </format>
    <format dxfId="1236">
      <pivotArea outline="0" fieldPosition="0">
        <references count="4">
          <reference field="4294967294" count="1" selected="0">
            <x v="14"/>
          </reference>
          <reference field="0" count="1" selected="0">
            <x v="1"/>
          </reference>
          <reference field="4" count="1" selected="0">
            <x v="1"/>
          </reference>
          <reference field="33" count="1" selected="0">
            <x v="0"/>
          </reference>
        </references>
      </pivotArea>
    </format>
    <format dxfId="1235">
      <pivotArea outline="0" fieldPosition="0">
        <references count="4">
          <reference field="4294967294" count="1" selected="0">
            <x v="17"/>
          </reference>
          <reference field="0" count="1" selected="0">
            <x v="1"/>
          </reference>
          <reference field="4" count="1" selected="0">
            <x v="1"/>
          </reference>
          <reference field="33" count="1" selected="0">
            <x v="0"/>
          </reference>
        </references>
      </pivotArea>
    </format>
    <format dxfId="1234">
      <pivotArea outline="0" fieldPosition="0">
        <references count="4">
          <reference field="4294967294" count="1" selected="0">
            <x v="20"/>
          </reference>
          <reference field="0" count="1" selected="0">
            <x v="1"/>
          </reference>
          <reference field="4" count="1" selected="0">
            <x v="1"/>
          </reference>
          <reference field="33" count="1" selected="0">
            <x v="0"/>
          </reference>
        </references>
      </pivotArea>
    </format>
    <format dxfId="1233">
      <pivotArea outline="0" fieldPosition="0">
        <references count="4">
          <reference field="4294967294" count="1" selected="0">
            <x v="23"/>
          </reference>
          <reference field="0" count="1" selected="0">
            <x v="1"/>
          </reference>
          <reference field="4" count="1" selected="0">
            <x v="1"/>
          </reference>
          <reference field="33" count="1" selected="0">
            <x v="0"/>
          </reference>
        </references>
      </pivotArea>
    </format>
    <format dxfId="1232">
      <pivotArea outline="0" fieldPosition="0">
        <references count="4">
          <reference field="4294967294" count="1" selected="0">
            <x v="26"/>
          </reference>
          <reference field="0" count="1" selected="0">
            <x v="1"/>
          </reference>
          <reference field="4" count="1" selected="0">
            <x v="1"/>
          </reference>
          <reference field="33" count="1" selected="0">
            <x v="0"/>
          </reference>
        </references>
      </pivotArea>
    </format>
    <format dxfId="1231">
      <pivotArea outline="0" fieldPosition="0">
        <references count="4">
          <reference field="4294967294" count="1" selected="0">
            <x v="29"/>
          </reference>
          <reference field="0" count="1" selected="0">
            <x v="1"/>
          </reference>
          <reference field="4" count="1" selected="0">
            <x v="1"/>
          </reference>
          <reference field="33" count="1" selected="0">
            <x v="0"/>
          </reference>
        </references>
      </pivotArea>
    </format>
    <format dxfId="1230">
      <pivotArea outline="0" fieldPosition="0">
        <references count="4">
          <reference field="4294967294" count="1" selected="0">
            <x v="32"/>
          </reference>
          <reference field="0" count="1" selected="0">
            <x v="1"/>
          </reference>
          <reference field="4" count="1" selected="0">
            <x v="1"/>
          </reference>
          <reference field="33" count="1" selected="0">
            <x v="0"/>
          </reference>
        </references>
      </pivotArea>
    </format>
    <format dxfId="1229">
      <pivotArea outline="0" fieldPosition="0">
        <references count="4">
          <reference field="4294967294" count="1" selected="0">
            <x v="35"/>
          </reference>
          <reference field="0" count="1" selected="0">
            <x v="1"/>
          </reference>
          <reference field="4" count="1" selected="0">
            <x v="1"/>
          </reference>
          <reference field="33" count="1" selected="0">
            <x v="0"/>
          </reference>
        </references>
      </pivotArea>
    </format>
    <format dxfId="1228">
      <pivotArea outline="0" fieldPosition="0">
        <references count="4">
          <reference field="4294967294" count="1" selected="0">
            <x v="2"/>
          </reference>
          <reference field="0" count="1" selected="0">
            <x v="3"/>
          </reference>
          <reference field="4" count="1" selected="0">
            <x v="0"/>
          </reference>
          <reference field="33" count="1" selected="0">
            <x v="0"/>
          </reference>
        </references>
      </pivotArea>
    </format>
    <format dxfId="1227">
      <pivotArea outline="0" fieldPosition="0">
        <references count="4">
          <reference field="4294967294" count="1" selected="0">
            <x v="5"/>
          </reference>
          <reference field="0" count="1" selected="0">
            <x v="3"/>
          </reference>
          <reference field="4" count="1" selected="0">
            <x v="0"/>
          </reference>
          <reference field="33" count="1" selected="0">
            <x v="0"/>
          </reference>
        </references>
      </pivotArea>
    </format>
    <format dxfId="1226">
      <pivotArea outline="0" fieldPosition="0">
        <references count="4">
          <reference field="4294967294" count="1" selected="0">
            <x v="8"/>
          </reference>
          <reference field="0" count="1" selected="0">
            <x v="3"/>
          </reference>
          <reference field="4" count="1" selected="0">
            <x v="0"/>
          </reference>
          <reference field="33" count="1" selected="0">
            <x v="0"/>
          </reference>
        </references>
      </pivotArea>
    </format>
    <format dxfId="1225">
      <pivotArea outline="0" fieldPosition="0">
        <references count="4">
          <reference field="4294967294" count="1" selected="0">
            <x v="11"/>
          </reference>
          <reference field="0" count="1" selected="0">
            <x v="3"/>
          </reference>
          <reference field="4" count="1" selected="0">
            <x v="0"/>
          </reference>
          <reference field="33" count="1" selected="0">
            <x v="0"/>
          </reference>
        </references>
      </pivotArea>
    </format>
    <format dxfId="1224">
      <pivotArea outline="0" fieldPosition="0">
        <references count="4">
          <reference field="4294967294" count="1" selected="0">
            <x v="14"/>
          </reference>
          <reference field="0" count="1" selected="0">
            <x v="3"/>
          </reference>
          <reference field="4" count="1" selected="0">
            <x v="0"/>
          </reference>
          <reference field="33" count="1" selected="0">
            <x v="0"/>
          </reference>
        </references>
      </pivotArea>
    </format>
    <format dxfId="1223">
      <pivotArea outline="0" fieldPosition="0">
        <references count="4">
          <reference field="4294967294" count="1" selected="0">
            <x v="17"/>
          </reference>
          <reference field="0" count="1" selected="0">
            <x v="3"/>
          </reference>
          <reference field="4" count="1" selected="0">
            <x v="0"/>
          </reference>
          <reference field="33" count="1" selected="0">
            <x v="0"/>
          </reference>
        </references>
      </pivotArea>
    </format>
    <format dxfId="1222">
      <pivotArea outline="0" fieldPosition="0">
        <references count="4">
          <reference field="4294967294" count="1" selected="0">
            <x v="20"/>
          </reference>
          <reference field="0" count="1" selected="0">
            <x v="3"/>
          </reference>
          <reference field="4" count="1" selected="0">
            <x v="0"/>
          </reference>
          <reference field="33" count="1" selected="0">
            <x v="0"/>
          </reference>
        </references>
      </pivotArea>
    </format>
    <format dxfId="1221">
      <pivotArea outline="0" fieldPosition="0">
        <references count="4">
          <reference field="4294967294" count="1" selected="0">
            <x v="23"/>
          </reference>
          <reference field="0" count="1" selected="0">
            <x v="3"/>
          </reference>
          <reference field="4" count="1" selected="0">
            <x v="0"/>
          </reference>
          <reference field="33" count="1" selected="0">
            <x v="0"/>
          </reference>
        </references>
      </pivotArea>
    </format>
    <format dxfId="1220">
      <pivotArea outline="0" fieldPosition="0">
        <references count="4">
          <reference field="4294967294" count="1" selected="0">
            <x v="26"/>
          </reference>
          <reference field="0" count="1" selected="0">
            <x v="3"/>
          </reference>
          <reference field="4" count="1" selected="0">
            <x v="0"/>
          </reference>
          <reference field="33" count="1" selected="0">
            <x v="0"/>
          </reference>
        </references>
      </pivotArea>
    </format>
    <format dxfId="1219">
      <pivotArea outline="0" fieldPosition="0">
        <references count="4">
          <reference field="4294967294" count="1" selected="0">
            <x v="29"/>
          </reference>
          <reference field="0" count="1" selected="0">
            <x v="3"/>
          </reference>
          <reference field="4" count="1" selected="0">
            <x v="0"/>
          </reference>
          <reference field="33" count="1" selected="0">
            <x v="0"/>
          </reference>
        </references>
      </pivotArea>
    </format>
    <format dxfId="1218">
      <pivotArea outline="0" fieldPosition="0">
        <references count="4">
          <reference field="4294967294" count="1" selected="0">
            <x v="32"/>
          </reference>
          <reference field="0" count="1" selected="0">
            <x v="3"/>
          </reference>
          <reference field="4" count="1" selected="0">
            <x v="0"/>
          </reference>
          <reference field="33" count="1" selected="0">
            <x v="0"/>
          </reference>
        </references>
      </pivotArea>
    </format>
    <format dxfId="1217">
      <pivotArea outline="0" fieldPosition="0">
        <references count="4">
          <reference field="4294967294" count="1" selected="0">
            <x v="35"/>
          </reference>
          <reference field="0" count="1" selected="0">
            <x v="3"/>
          </reference>
          <reference field="4" count="1" selected="0">
            <x v="0"/>
          </reference>
          <reference field="33" count="1" selected="0">
            <x v="0"/>
          </reference>
        </references>
      </pivotArea>
    </format>
    <format dxfId="1216">
      <pivotArea outline="0" fieldPosition="0">
        <references count="4">
          <reference field="4294967294" count="2" selected="0">
            <x v="33"/>
            <x v="34"/>
          </reference>
          <reference field="0" count="1" selected="0">
            <x v="3"/>
          </reference>
          <reference field="4" count="1" selected="0">
            <x v="0"/>
          </reference>
          <reference field="33" count="1" selected="0">
            <x v="0"/>
          </reference>
        </references>
      </pivotArea>
    </format>
    <format dxfId="1215">
      <pivotArea outline="0" fieldPosition="0">
        <references count="4">
          <reference field="4294967294" count="1" selected="0">
            <x v="33"/>
          </reference>
          <reference field="0" count="1" selected="0">
            <x v="3"/>
          </reference>
          <reference field="4" count="1" selected="0">
            <x v="0"/>
          </reference>
          <reference field="33" count="1" selected="0">
            <x v="0"/>
          </reference>
        </references>
      </pivotArea>
    </format>
    <format dxfId="1214">
      <pivotArea outline="0" fieldPosition="0">
        <references count="3">
          <reference field="4294967294" count="1" selected="0">
            <x v="34"/>
          </reference>
          <reference field="0" count="1" selected="0">
            <x v="3"/>
          </reference>
          <reference field="33" count="1" selected="0" defaultSubtotal="1">
            <x v="0"/>
          </reference>
        </references>
      </pivotArea>
    </format>
    <format dxfId="1213">
      <pivotArea outline="0" fieldPosition="0">
        <references count="3">
          <reference field="4294967294" count="1" selected="0">
            <x v="33"/>
          </reference>
          <reference field="0" count="1" selected="0">
            <x v="3"/>
          </reference>
          <reference field="33" count="1" selected="0" defaultSubtotal="1">
            <x v="0"/>
          </reference>
        </references>
      </pivotArea>
    </format>
    <format dxfId="1212">
      <pivotArea outline="0" fieldPosition="0">
        <references count="4">
          <reference field="4294967294" count="3" selected="0">
            <x v="0"/>
            <x v="1"/>
            <x v="2"/>
          </reference>
          <reference field="0" count="1" selected="0">
            <x v="3"/>
          </reference>
          <reference field="4" count="1" selected="0">
            <x v="5"/>
          </reference>
          <reference field="33" count="1" selected="0">
            <x v="0"/>
          </reference>
        </references>
      </pivotArea>
    </format>
    <format dxfId="1211">
      <pivotArea outline="0" fieldPosition="0">
        <references count="4">
          <reference field="4294967294" count="3" selected="0">
            <x v="3"/>
            <x v="4"/>
            <x v="5"/>
          </reference>
          <reference field="0" count="1" selected="0">
            <x v="3"/>
          </reference>
          <reference field="4" count="1" selected="0">
            <x v="5"/>
          </reference>
          <reference field="33" count="1" selected="0">
            <x v="0"/>
          </reference>
        </references>
      </pivotArea>
    </format>
    <format dxfId="1210">
      <pivotArea outline="0" fieldPosition="0">
        <references count="4">
          <reference field="4294967294" count="1" selected="0">
            <x v="9"/>
          </reference>
          <reference field="0" count="1" selected="0">
            <x v="4"/>
          </reference>
          <reference field="4" count="1" selected="0">
            <x v="0"/>
          </reference>
          <reference field="33" count="1" selected="0">
            <x v="0"/>
          </reference>
        </references>
      </pivotArea>
    </format>
    <format dxfId="1209">
      <pivotArea outline="0" fieldPosition="0">
        <references count="4">
          <reference field="4294967294" count="1" selected="0">
            <x v="13"/>
          </reference>
          <reference field="0" count="1" selected="0">
            <x v="4"/>
          </reference>
          <reference field="4" count="1" selected="0">
            <x v="0"/>
          </reference>
          <reference field="33" count="1" selected="0">
            <x v="0"/>
          </reference>
        </references>
      </pivotArea>
    </format>
    <format dxfId="1208">
      <pivotArea outline="0" fieldPosition="0">
        <references count="4">
          <reference field="4294967294" count="1" selected="0">
            <x v="15"/>
          </reference>
          <reference field="0" count="1" selected="0">
            <x v="4"/>
          </reference>
          <reference field="4" count="1" selected="0">
            <x v="3"/>
          </reference>
          <reference field="33" count="1" selected="0">
            <x v="0"/>
          </reference>
        </references>
      </pivotArea>
    </format>
    <format dxfId="1207">
      <pivotArea outline="0" fieldPosition="0">
        <references count="4">
          <reference field="4294967294" count="3" selected="0">
            <x v="0"/>
            <x v="1"/>
            <x v="2"/>
          </reference>
          <reference field="0" count="1" selected="0">
            <x v="5"/>
          </reference>
          <reference field="4" count="1" selected="0">
            <x v="1"/>
          </reference>
          <reference field="33" count="1" selected="0">
            <x v="0"/>
          </reference>
        </references>
      </pivotArea>
    </format>
    <format dxfId="1206">
      <pivotArea outline="0" fieldPosition="0">
        <references count="4">
          <reference field="4294967294" count="3" selected="0">
            <x v="21"/>
            <x v="22"/>
            <x v="23"/>
          </reference>
          <reference field="0" count="1" selected="0">
            <x v="8"/>
          </reference>
          <reference field="4" count="1" selected="0">
            <x v="2"/>
          </reference>
          <reference field="33" count="1" selected="0">
            <x v="0"/>
          </reference>
        </references>
      </pivotArea>
    </format>
    <format dxfId="1205">
      <pivotArea outline="0" fieldPosition="0">
        <references count="4">
          <reference field="4294967294" count="3" selected="0">
            <x v="21"/>
            <x v="22"/>
            <x v="23"/>
          </reference>
          <reference field="0" count="1" selected="0">
            <x v="9"/>
          </reference>
          <reference field="4" count="1" selected="0">
            <x v="3"/>
          </reference>
          <reference field="33" count="1" selected="0">
            <x v="0"/>
          </reference>
        </references>
      </pivotArea>
    </format>
    <format dxfId="1204">
      <pivotArea outline="0" fieldPosition="0">
        <references count="4">
          <reference field="4294967294" count="3" selected="0">
            <x v="24"/>
            <x v="25"/>
            <x v="26"/>
          </reference>
          <reference field="0" count="1" selected="0">
            <x v="9"/>
          </reference>
          <reference field="4" count="1" selected="0">
            <x v="3"/>
          </reference>
          <reference field="33" count="1" selected="0">
            <x v="0"/>
          </reference>
        </references>
      </pivotArea>
    </format>
    <format dxfId="1203">
      <pivotArea outline="0" fieldPosition="0">
        <references count="4">
          <reference field="4294967294" count="3" selected="0">
            <x v="3"/>
            <x v="4"/>
            <x v="5"/>
          </reference>
          <reference field="0" count="1" selected="0">
            <x v="15"/>
          </reference>
          <reference field="4" count="1" selected="0">
            <x v="5"/>
          </reference>
          <reference field="33" count="1" selected="0">
            <x v="0"/>
          </reference>
        </references>
      </pivotArea>
    </format>
    <format dxfId="1202">
      <pivotArea outline="0" fieldPosition="0">
        <references count="3">
          <reference field="4294967294" count="1" selected="0">
            <x v="31"/>
          </reference>
          <reference field="0" count="1" selected="0">
            <x v="15"/>
          </reference>
          <reference field="33" count="1" selected="0" defaultSubtotal="1">
            <x v="0"/>
          </reference>
        </references>
      </pivotArea>
    </format>
    <format dxfId="1201">
      <pivotArea outline="0" fieldPosition="0">
        <references count="4">
          <reference field="4294967294" count="1" selected="0">
            <x v="31"/>
          </reference>
          <reference field="0" count="1" selected="0">
            <x v="15"/>
          </reference>
          <reference field="4" count="1" selected="0">
            <x v="0"/>
          </reference>
          <reference field="33" count="1" selected="0">
            <x v="0"/>
          </reference>
        </references>
      </pivotArea>
    </format>
    <format dxfId="1200">
      <pivotArea outline="0" fieldPosition="0">
        <references count="4">
          <reference field="4294967294" count="1" selected="0">
            <x v="31"/>
          </reference>
          <reference field="0" count="1" selected="0">
            <x v="13"/>
          </reference>
          <reference field="4" count="1" selected="0">
            <x v="3"/>
          </reference>
          <reference field="33" count="1" selected="0">
            <x v="0"/>
          </reference>
        </references>
      </pivotArea>
    </format>
    <format dxfId="1199">
      <pivotArea outline="0" fieldPosition="0">
        <references count="4">
          <reference field="4294967294" count="1" selected="0">
            <x v="33"/>
          </reference>
          <reference field="0" count="1" selected="0">
            <x v="10"/>
          </reference>
          <reference field="4" count="1" selected="0">
            <x v="0"/>
          </reference>
          <reference field="33" count="1" selected="0">
            <x v="0"/>
          </reference>
        </references>
      </pivotArea>
    </format>
    <format dxfId="1198">
      <pivotArea outline="0" fieldPosition="0">
        <references count="4">
          <reference field="4294967294" count="1" selected="0">
            <x v="31"/>
          </reference>
          <reference field="0" count="1" selected="0">
            <x v="10"/>
          </reference>
          <reference field="4" count="1" selected="0">
            <x v="0"/>
          </reference>
          <reference field="33" count="1" selected="0">
            <x v="0"/>
          </reference>
        </references>
      </pivotArea>
    </format>
    <format dxfId="1197">
      <pivotArea outline="0" fieldPosition="0">
        <references count="4">
          <reference field="4294967294" count="1" selected="0">
            <x v="13"/>
          </reference>
          <reference field="0" count="1" selected="0">
            <x v="10"/>
          </reference>
          <reference field="4" count="1" selected="0">
            <x v="5"/>
          </reference>
          <reference field="33" count="1" selected="0">
            <x v="0"/>
          </reference>
        </references>
      </pivotArea>
    </format>
    <format dxfId="1196">
      <pivotArea outline="0" fieldPosition="0">
        <references count="4">
          <reference field="4294967294" count="1" selected="0">
            <x v="10"/>
          </reference>
          <reference field="0" count="1" selected="0">
            <x v="10"/>
          </reference>
          <reference field="4" count="1" selected="0">
            <x v="2"/>
          </reference>
          <reference field="33" count="1" selected="0">
            <x v="0"/>
          </reference>
        </references>
      </pivotArea>
    </format>
    <format dxfId="1195">
      <pivotArea outline="0" fieldPosition="0">
        <references count="4">
          <reference field="4294967294" count="1" selected="0">
            <x v="31"/>
          </reference>
          <reference field="0" count="1" selected="0">
            <x v="9"/>
          </reference>
          <reference field="4" count="1" selected="0">
            <x v="0"/>
          </reference>
          <reference field="33" count="1" selected="0">
            <x v="0"/>
          </reference>
        </references>
      </pivotArea>
    </format>
    <format dxfId="1194">
      <pivotArea outline="0" fieldPosition="0">
        <references count="4">
          <reference field="4294967294" count="1" selected="0">
            <x v="12"/>
          </reference>
          <reference field="0" count="1" selected="0">
            <x v="9"/>
          </reference>
          <reference field="4" count="1" selected="0">
            <x v="2"/>
          </reference>
          <reference field="33" count="1" selected="0">
            <x v="0"/>
          </reference>
        </references>
      </pivotArea>
    </format>
    <format dxfId="1193">
      <pivotArea outline="0" fieldPosition="0">
        <references count="4">
          <reference field="4294967294" count="2" selected="0">
            <x v="9"/>
            <x v="10"/>
          </reference>
          <reference field="0" count="1" selected="0">
            <x v="9"/>
          </reference>
          <reference field="4" count="2" selected="0">
            <x v="1"/>
            <x v="2"/>
          </reference>
          <reference field="33" count="1" selected="0">
            <x v="0"/>
          </reference>
        </references>
      </pivotArea>
    </format>
    <format dxfId="1192">
      <pivotArea outline="0" fieldPosition="0">
        <references count="4">
          <reference field="4294967294" count="1" selected="0">
            <x v="33"/>
          </reference>
          <reference field="0" count="1" selected="0">
            <x v="8"/>
          </reference>
          <reference field="4" count="1" selected="0">
            <x v="0"/>
          </reference>
          <reference field="33" count="1" selected="0">
            <x v="0"/>
          </reference>
        </references>
      </pivotArea>
    </format>
    <format dxfId="1191">
      <pivotArea outline="0" fieldPosition="0">
        <references count="4">
          <reference field="4294967294" count="1" selected="0">
            <x v="34"/>
          </reference>
          <reference field="0" count="1" selected="0">
            <x v="8"/>
          </reference>
          <reference field="4" count="1" selected="0">
            <x v="0"/>
          </reference>
          <reference field="33" count="1" selected="0">
            <x v="0"/>
          </reference>
        </references>
      </pivotArea>
    </format>
    <format dxfId="1190">
      <pivotArea outline="0" fieldPosition="0">
        <references count="4">
          <reference field="4294967294" count="1" selected="0">
            <x v="31"/>
          </reference>
          <reference field="0" count="1" selected="0">
            <x v="8"/>
          </reference>
          <reference field="4" count="1" selected="0">
            <x v="2"/>
          </reference>
          <reference field="33" count="1" selected="0">
            <x v="0"/>
          </reference>
        </references>
      </pivotArea>
    </format>
    <format dxfId="1189">
      <pivotArea outline="0" fieldPosition="0">
        <references count="4">
          <reference field="4294967294" count="2" selected="0">
            <x v="12"/>
            <x v="13"/>
          </reference>
          <reference field="0" count="1" selected="0">
            <x v="8"/>
          </reference>
          <reference field="4" count="1" selected="0">
            <x v="0"/>
          </reference>
          <reference field="33" count="1" selected="0">
            <x v="0"/>
          </reference>
        </references>
      </pivotArea>
    </format>
    <format dxfId="1188">
      <pivotArea outline="0" fieldPosition="0">
        <references count="4">
          <reference field="4294967294" count="1" selected="0">
            <x v="12"/>
          </reference>
          <reference field="0" count="1" selected="0">
            <x v="8"/>
          </reference>
          <reference field="4" count="1" selected="0">
            <x v="1"/>
          </reference>
          <reference field="33" count="1" selected="0">
            <x v="0"/>
          </reference>
        </references>
      </pivotArea>
    </format>
    <format dxfId="1187">
      <pivotArea outline="0" fieldPosition="0">
        <references count="4">
          <reference field="4294967294" count="1" selected="0">
            <x v="12"/>
          </reference>
          <reference field="0" count="1" selected="0">
            <x v="8"/>
          </reference>
          <reference field="4" count="1" selected="0">
            <x v="3"/>
          </reference>
          <reference field="33" count="1" selected="0">
            <x v="0"/>
          </reference>
        </references>
      </pivotArea>
    </format>
    <format dxfId="1186">
      <pivotArea outline="0" fieldPosition="0">
        <references count="4">
          <reference field="4294967294" count="1" selected="0">
            <x v="10"/>
          </reference>
          <reference field="0" count="1" selected="0">
            <x v="8"/>
          </reference>
          <reference field="4" count="1" selected="0">
            <x v="3"/>
          </reference>
          <reference field="33" count="1" selected="0">
            <x v="0"/>
          </reference>
        </references>
      </pivotArea>
    </format>
    <format dxfId="1185">
      <pivotArea outline="0" fieldPosition="0">
        <references count="4">
          <reference field="4294967294" count="1" selected="0">
            <x v="28"/>
          </reference>
          <reference field="0" count="1" selected="0">
            <x v="7"/>
          </reference>
          <reference field="4" count="1" selected="0">
            <x v="1"/>
          </reference>
          <reference field="33" count="1" selected="0">
            <x v="0"/>
          </reference>
        </references>
      </pivotArea>
    </format>
    <format dxfId="1184">
      <pivotArea outline="0" fieldPosition="0">
        <references count="4">
          <reference field="4294967294" count="1" selected="0">
            <x v="10"/>
          </reference>
          <reference field="0" count="1" selected="0">
            <x v="7"/>
          </reference>
          <reference field="4" count="1" selected="0">
            <x v="2"/>
          </reference>
          <reference field="33" count="1" selected="0">
            <x v="0"/>
          </reference>
        </references>
      </pivotArea>
    </format>
    <format dxfId="1183">
      <pivotArea outline="0" fieldPosition="0">
        <references count="4">
          <reference field="4294967294" count="2" selected="0">
            <x v="30"/>
            <x v="31"/>
          </reference>
          <reference field="0" count="1" selected="0">
            <x v="5"/>
          </reference>
          <reference field="4" count="2" selected="0">
            <x v="0"/>
            <x v="1"/>
          </reference>
          <reference field="33" count="1" selected="0">
            <x v="0"/>
          </reference>
        </references>
      </pivotArea>
    </format>
    <format dxfId="1182">
      <pivotArea outline="0" fieldPosition="0">
        <references count="4">
          <reference field="4294967294" count="2" selected="0">
            <x v="30"/>
            <x v="31"/>
          </reference>
          <reference field="0" count="1" selected="0">
            <x v="5"/>
          </reference>
          <reference field="4" count="1" selected="0">
            <x v="3"/>
          </reference>
          <reference field="33" count="1" selected="0">
            <x v="0"/>
          </reference>
        </references>
      </pivotArea>
    </format>
    <format dxfId="1181">
      <pivotArea outline="0" fieldPosition="0">
        <references count="4">
          <reference field="4294967294" count="1" selected="0">
            <x v="27"/>
          </reference>
          <reference field="0" count="1" selected="0">
            <x v="5"/>
          </reference>
          <reference field="4" count="1" selected="0">
            <x v="1"/>
          </reference>
          <reference field="33" count="1" selected="0">
            <x v="0"/>
          </reference>
        </references>
      </pivotArea>
    </format>
    <format dxfId="1180">
      <pivotArea outline="0" fieldPosition="0">
        <references count="4">
          <reference field="4294967294" count="1" selected="0">
            <x v="30"/>
          </reference>
          <reference field="0" count="1" selected="0">
            <x v="4"/>
          </reference>
          <reference field="4" count="1" selected="0">
            <x v="2"/>
          </reference>
          <reference field="33" count="1" selected="0">
            <x v="0"/>
          </reference>
        </references>
      </pivotArea>
    </format>
    <format dxfId="1179">
      <pivotArea outline="0" fieldPosition="0">
        <references count="4">
          <reference field="4294967294" count="1" selected="0">
            <x v="27"/>
          </reference>
          <reference field="0" count="1" selected="0">
            <x v="4"/>
          </reference>
          <reference field="4" count="1" selected="0">
            <x v="1"/>
          </reference>
          <reference field="33" count="1" selected="0">
            <x v="0"/>
          </reference>
        </references>
      </pivotArea>
    </format>
    <format dxfId="1178">
      <pivotArea outline="0" fieldPosition="0">
        <references count="4">
          <reference field="4294967294" count="1" selected="0">
            <x v="9"/>
          </reference>
          <reference field="0" count="1" selected="0">
            <x v="3"/>
          </reference>
          <reference field="4" count="1" selected="0">
            <x v="2"/>
          </reference>
          <reference field="33" count="1" selected="0">
            <x v="0"/>
          </reference>
        </references>
      </pivotArea>
    </format>
    <format dxfId="1177">
      <pivotArea outline="0" fieldPosition="0">
        <references count="4">
          <reference field="4294967294" count="1" selected="0">
            <x v="10"/>
          </reference>
          <reference field="0" count="1" selected="0">
            <x v="3"/>
          </reference>
          <reference field="4" count="1" selected="0">
            <x v="4"/>
          </reference>
          <reference field="33" count="1" selected="0">
            <x v="0"/>
          </reference>
        </references>
      </pivotArea>
    </format>
    <format dxfId="1176">
      <pivotArea outline="0" fieldPosition="0">
        <references count="4">
          <reference field="4294967294" count="1" selected="0">
            <x v="13"/>
          </reference>
          <reference field="0" count="1" selected="0">
            <x v="1"/>
          </reference>
          <reference field="4" count="1" selected="0">
            <x v="1"/>
          </reference>
          <reference field="33" count="1" selected="0">
            <x v="0"/>
          </reference>
        </references>
      </pivotArea>
    </format>
    <format dxfId="1175">
      <pivotArea outline="0" fieldPosition="0">
        <references count="4">
          <reference field="4294967294" count="1" selected="0">
            <x v="34"/>
          </reference>
          <reference field="0" count="1" selected="0">
            <x v="0"/>
          </reference>
          <reference field="4" count="1" selected="0">
            <x v="0"/>
          </reference>
          <reference field="33" count="1" selected="0">
            <x v="0"/>
          </reference>
        </references>
      </pivotArea>
    </format>
    <format dxfId="1174">
      <pivotArea outline="0" fieldPosition="0">
        <references count="4">
          <reference field="4294967294" count="6" selected="0">
            <x v="0"/>
            <x v="1"/>
            <x v="2"/>
            <x v="3"/>
            <x v="4"/>
            <x v="5"/>
          </reference>
          <reference field="0" count="1" selected="0">
            <x v="3"/>
          </reference>
          <reference field="4" count="3" selected="0">
            <x v="7"/>
            <x v="8"/>
            <x v="9"/>
          </reference>
          <reference field="33" count="1" selected="0">
            <x v="1"/>
          </reference>
        </references>
      </pivotArea>
    </format>
    <format dxfId="1173">
      <pivotArea outline="0" fieldPosition="0">
        <references count="3">
          <reference field="4294967294" count="6" selected="0">
            <x v="0"/>
            <x v="1"/>
            <x v="2"/>
            <x v="3"/>
            <x v="4"/>
            <x v="5"/>
          </reference>
          <reference field="0" count="1" selected="0">
            <x v="3"/>
          </reference>
          <reference field="33" count="1" selected="0" defaultSubtotal="1">
            <x v="1"/>
          </reference>
        </references>
      </pivotArea>
    </format>
    <format dxfId="1172">
      <pivotArea outline="0" fieldPosition="0">
        <references count="4">
          <reference field="4294967294" count="3" selected="0">
            <x v="0"/>
            <x v="1"/>
            <x v="2"/>
          </reference>
          <reference field="0" count="1" selected="0">
            <x v="5"/>
          </reference>
          <reference field="4" count="1" selected="0">
            <x v="7"/>
          </reference>
          <reference field="33" count="1" selected="0">
            <x v="1"/>
          </reference>
        </references>
      </pivotArea>
    </format>
    <format dxfId="1171">
      <pivotArea outline="0" fieldPosition="0">
        <references count="4">
          <reference field="4294967294" count="3" selected="0">
            <x v="0"/>
            <x v="1"/>
            <x v="2"/>
          </reference>
          <reference field="0" count="1" selected="0">
            <x v="5"/>
          </reference>
          <reference field="4" count="1" selected="0">
            <x v="9"/>
          </reference>
          <reference field="33" count="1" selected="0">
            <x v="1"/>
          </reference>
        </references>
      </pivotArea>
    </format>
    <format dxfId="1170">
      <pivotArea outline="0" fieldPosition="0">
        <references count="4">
          <reference field="4294967294" count="3" selected="0">
            <x v="6"/>
            <x v="7"/>
            <x v="8"/>
          </reference>
          <reference field="0" count="1" selected="0">
            <x v="5"/>
          </reference>
          <reference field="4" count="1" selected="0">
            <x v="7"/>
          </reference>
          <reference field="33" count="1" selected="0">
            <x v="1"/>
          </reference>
        </references>
      </pivotArea>
    </format>
    <format dxfId="1169">
      <pivotArea outline="0" fieldPosition="0">
        <references count="4">
          <reference field="4294967294" count="9" selected="0">
            <x v="0"/>
            <x v="1"/>
            <x v="2"/>
            <x v="3"/>
            <x v="4"/>
            <x v="5"/>
            <x v="6"/>
            <x v="7"/>
            <x v="8"/>
          </reference>
          <reference field="0" count="1" selected="0">
            <x v="15"/>
          </reference>
          <reference field="4" count="1" selected="0">
            <x v="8"/>
          </reference>
          <reference field="33" count="1" selected="0">
            <x v="1"/>
          </reference>
        </references>
      </pivotArea>
    </format>
    <format dxfId="1168">
      <pivotArea outline="0" fieldPosition="0">
        <references count="4">
          <reference field="4294967294" count="9" selected="0">
            <x v="0"/>
            <x v="1"/>
            <x v="2"/>
            <x v="3"/>
            <x v="4"/>
            <x v="5"/>
            <x v="6"/>
            <x v="7"/>
            <x v="8"/>
          </reference>
          <reference field="0" count="1" selected="0">
            <x v="15"/>
          </reference>
          <reference field="4" count="1" selected="0">
            <x v="9"/>
          </reference>
          <reference field="33" count="1" selected="0">
            <x v="1"/>
          </reference>
        </references>
      </pivotArea>
    </format>
    <format dxfId="1167">
      <pivotArea outline="0" fieldPosition="0">
        <references count="4">
          <reference field="4294967294" count="8" selected="0">
            <x v="18"/>
            <x v="19"/>
            <x v="20"/>
            <x v="21"/>
            <x v="22"/>
            <x v="23"/>
            <x v="24"/>
            <x v="25"/>
          </reference>
          <reference field="0" count="1" selected="0">
            <x v="15"/>
          </reference>
          <reference field="4" count="1" selected="0">
            <x v="8"/>
          </reference>
          <reference field="33" count="1" selected="0">
            <x v="1"/>
          </reference>
        </references>
      </pivotArea>
    </format>
    <format dxfId="1166">
      <pivotArea field="0" grandRow="1" outline="0" axis="axisRow" fieldPosition="0">
        <references count="1">
          <reference field="4294967294" count="1" selected="0">
            <x v="35"/>
          </reference>
        </references>
      </pivotArea>
    </format>
    <format dxfId="1165">
      <pivotArea field="0" dataOnly="0" labelOnly="1" grandRow="1" outline="0" axis="axisRow" fieldPosition="0">
        <references count="1">
          <reference field="4294967294" count="1" selected="0">
            <x v="0"/>
          </reference>
        </references>
      </pivotArea>
    </format>
    <format dxfId="1164">
      <pivotArea field="0" dataOnly="0" labelOnly="1" grandRow="1" outline="0" axis="axisRow" fieldPosition="0">
        <references count="1">
          <reference field="4294967294" count="1" selected="0">
            <x v="1"/>
          </reference>
        </references>
      </pivotArea>
    </format>
    <format dxfId="1163">
      <pivotArea field="0" dataOnly="0" labelOnly="1" grandRow="1" outline="0" axis="axisRow" fieldPosition="0">
        <references count="1">
          <reference field="4294967294" count="1" selected="0">
            <x v="2"/>
          </reference>
        </references>
      </pivotArea>
    </format>
    <format dxfId="1162">
      <pivotArea field="0" dataOnly="0" labelOnly="1" grandRow="1" outline="0" axis="axisRow" fieldPosition="0">
        <references count="1">
          <reference field="4294967294" count="1" selected="0">
            <x v="3"/>
          </reference>
        </references>
      </pivotArea>
    </format>
    <format dxfId="1161">
      <pivotArea field="0" dataOnly="0" labelOnly="1" grandRow="1" outline="0" axis="axisRow" fieldPosition="0">
        <references count="1">
          <reference field="4294967294" count="1" selected="0">
            <x v="4"/>
          </reference>
        </references>
      </pivotArea>
    </format>
    <format dxfId="1160">
      <pivotArea field="0" dataOnly="0" labelOnly="1" grandRow="1" outline="0" axis="axisRow" fieldPosition="0">
        <references count="1">
          <reference field="4294967294" count="1" selected="0">
            <x v="5"/>
          </reference>
        </references>
      </pivotArea>
    </format>
    <format dxfId="1159">
      <pivotArea field="0" dataOnly="0" labelOnly="1" grandRow="1" outline="0" axis="axisRow" fieldPosition="0">
        <references count="1">
          <reference field="4294967294" count="1" selected="0">
            <x v="6"/>
          </reference>
        </references>
      </pivotArea>
    </format>
    <format dxfId="1158">
      <pivotArea field="0" dataOnly="0" labelOnly="1" grandRow="1" outline="0" axis="axisRow" fieldPosition="0">
        <references count="1">
          <reference field="4294967294" count="1" selected="0">
            <x v="7"/>
          </reference>
        </references>
      </pivotArea>
    </format>
    <format dxfId="1157">
      <pivotArea field="0" dataOnly="0" labelOnly="1" grandRow="1" outline="0" axis="axisRow" fieldPosition="0">
        <references count="1">
          <reference field="4294967294" count="1" selected="0">
            <x v="8"/>
          </reference>
        </references>
      </pivotArea>
    </format>
    <format dxfId="1156">
      <pivotArea field="0" dataOnly="0" labelOnly="1" grandRow="1" outline="0" axis="axisRow" fieldPosition="0">
        <references count="1">
          <reference field="4294967294" count="1" selected="0">
            <x v="9"/>
          </reference>
        </references>
      </pivotArea>
    </format>
    <format dxfId="1155">
      <pivotArea field="0" dataOnly="0" labelOnly="1" grandRow="1" outline="0" axis="axisRow" fieldPosition="0">
        <references count="1">
          <reference field="4294967294" count="1" selected="0">
            <x v="10"/>
          </reference>
        </references>
      </pivotArea>
    </format>
    <format dxfId="1154">
      <pivotArea field="0" dataOnly="0" labelOnly="1" grandRow="1" outline="0" axis="axisRow" fieldPosition="0">
        <references count="1">
          <reference field="4294967294" count="1" selected="0">
            <x v="11"/>
          </reference>
        </references>
      </pivotArea>
    </format>
    <format dxfId="1153">
      <pivotArea field="0" dataOnly="0" labelOnly="1" grandRow="1" outline="0" axis="axisRow" fieldPosition="0">
        <references count="1">
          <reference field="4294967294" count="1" selected="0">
            <x v="12"/>
          </reference>
        </references>
      </pivotArea>
    </format>
    <format dxfId="1152">
      <pivotArea field="0" dataOnly="0" labelOnly="1" grandRow="1" outline="0" axis="axisRow" fieldPosition="0">
        <references count="1">
          <reference field="4294967294" count="1" selected="0">
            <x v="13"/>
          </reference>
        </references>
      </pivotArea>
    </format>
    <format dxfId="1151">
      <pivotArea field="0" dataOnly="0" labelOnly="1" grandRow="1" outline="0" axis="axisRow" fieldPosition="0">
        <references count="1">
          <reference field="4294967294" count="1" selected="0">
            <x v="14"/>
          </reference>
        </references>
      </pivotArea>
    </format>
    <format dxfId="1150">
      <pivotArea field="0" dataOnly="0" labelOnly="1" grandRow="1" outline="0" axis="axisRow" fieldPosition="0">
        <references count="1">
          <reference field="4294967294" count="1" selected="0">
            <x v="15"/>
          </reference>
        </references>
      </pivotArea>
    </format>
    <format dxfId="1149">
      <pivotArea field="0" dataOnly="0" labelOnly="1" grandRow="1" outline="0" axis="axisRow" fieldPosition="0">
        <references count="1">
          <reference field="4294967294" count="1" selected="0">
            <x v="16"/>
          </reference>
        </references>
      </pivotArea>
    </format>
    <format dxfId="1148">
      <pivotArea field="0" dataOnly="0" labelOnly="1" grandRow="1" outline="0" axis="axisRow" fieldPosition="0">
        <references count="1">
          <reference field="4294967294" count="1" selected="0">
            <x v="17"/>
          </reference>
        </references>
      </pivotArea>
    </format>
    <format dxfId="1147">
      <pivotArea field="0" dataOnly="0" labelOnly="1" grandRow="1" outline="0" axis="axisRow" fieldPosition="0">
        <references count="1">
          <reference field="4294967294" count="1" selected="0">
            <x v="18"/>
          </reference>
        </references>
      </pivotArea>
    </format>
    <format dxfId="1146">
      <pivotArea field="0" dataOnly="0" labelOnly="1" grandRow="1" outline="0" axis="axisRow" fieldPosition="0">
        <references count="1">
          <reference field="4294967294" count="1" selected="0">
            <x v="19"/>
          </reference>
        </references>
      </pivotArea>
    </format>
    <format dxfId="1145">
      <pivotArea field="0" dataOnly="0" labelOnly="1" grandRow="1" outline="0" axis="axisRow" fieldPosition="0">
        <references count="1">
          <reference field="4294967294" count="1" selected="0">
            <x v="20"/>
          </reference>
        </references>
      </pivotArea>
    </format>
    <format dxfId="1144">
      <pivotArea field="0" dataOnly="0" labelOnly="1" grandRow="1" outline="0" axis="axisRow" fieldPosition="0">
        <references count="1">
          <reference field="4294967294" count="1" selected="0">
            <x v="21"/>
          </reference>
        </references>
      </pivotArea>
    </format>
    <format dxfId="1143">
      <pivotArea field="0" dataOnly="0" labelOnly="1" grandRow="1" outline="0" axis="axisRow" fieldPosition="0">
        <references count="1">
          <reference field="4294967294" count="1" selected="0">
            <x v="22"/>
          </reference>
        </references>
      </pivotArea>
    </format>
    <format dxfId="1142">
      <pivotArea field="0" dataOnly="0" labelOnly="1" grandRow="1" outline="0" axis="axisRow" fieldPosition="0">
        <references count="1">
          <reference field="4294967294" count="1" selected="0">
            <x v="23"/>
          </reference>
        </references>
      </pivotArea>
    </format>
    <format dxfId="1141">
      <pivotArea field="0" dataOnly="0" labelOnly="1" grandRow="1" outline="0" axis="axisRow" fieldPosition="0">
        <references count="1">
          <reference field="4294967294" count="1" selected="0">
            <x v="24"/>
          </reference>
        </references>
      </pivotArea>
    </format>
    <format dxfId="1140">
      <pivotArea field="0" dataOnly="0" labelOnly="1" grandRow="1" outline="0" axis="axisRow" fieldPosition="0">
        <references count="1">
          <reference field="4294967294" count="1" selected="0">
            <x v="25"/>
          </reference>
        </references>
      </pivotArea>
    </format>
    <format dxfId="1139">
      <pivotArea field="0" dataOnly="0" labelOnly="1" grandRow="1" outline="0" axis="axisRow" fieldPosition="0">
        <references count="1">
          <reference field="4294967294" count="1" selected="0">
            <x v="26"/>
          </reference>
        </references>
      </pivotArea>
    </format>
    <format dxfId="1138">
      <pivotArea field="0" dataOnly="0" labelOnly="1" grandRow="1" outline="0" axis="axisRow" fieldPosition="0">
        <references count="1">
          <reference field="4294967294" count="1" selected="0">
            <x v="27"/>
          </reference>
        </references>
      </pivotArea>
    </format>
    <format dxfId="1137">
      <pivotArea field="0" dataOnly="0" labelOnly="1" grandRow="1" outline="0" axis="axisRow" fieldPosition="0">
        <references count="1">
          <reference field="4294967294" count="1" selected="0">
            <x v="28"/>
          </reference>
        </references>
      </pivotArea>
    </format>
    <format dxfId="1136">
      <pivotArea field="0" dataOnly="0" labelOnly="1" grandRow="1" outline="0" axis="axisRow" fieldPosition="0">
        <references count="1">
          <reference field="4294967294" count="1" selected="0">
            <x v="29"/>
          </reference>
        </references>
      </pivotArea>
    </format>
    <format dxfId="1135">
      <pivotArea field="0" dataOnly="0" labelOnly="1" grandRow="1" outline="0" axis="axisRow" fieldPosition="0">
        <references count="1">
          <reference field="4294967294" count="1" selected="0">
            <x v="30"/>
          </reference>
        </references>
      </pivotArea>
    </format>
    <format dxfId="1134">
      <pivotArea field="0" dataOnly="0" labelOnly="1" grandRow="1" outline="0" axis="axisRow" fieldPosition="0">
        <references count="1">
          <reference field="4294967294" count="1" selected="0">
            <x v="31"/>
          </reference>
        </references>
      </pivotArea>
    </format>
    <format dxfId="1133">
      <pivotArea field="0" dataOnly="0" labelOnly="1" grandRow="1" outline="0" axis="axisRow" fieldPosition="0">
        <references count="1">
          <reference field="4294967294" count="1" selected="0">
            <x v="32"/>
          </reference>
        </references>
      </pivotArea>
    </format>
    <format dxfId="1132">
      <pivotArea field="0" dataOnly="0" labelOnly="1" grandRow="1" outline="0" axis="axisRow" fieldPosition="0">
        <references count="1">
          <reference field="4294967294" count="1" selected="0">
            <x v="33"/>
          </reference>
        </references>
      </pivotArea>
    </format>
    <format dxfId="1131">
      <pivotArea field="0" dataOnly="0" labelOnly="1" grandRow="1" outline="0" axis="axisRow" fieldPosition="0">
        <references count="1">
          <reference field="4294967294" count="1" selected="0">
            <x v="34"/>
          </reference>
        </references>
      </pivotArea>
    </format>
    <format dxfId="1130">
      <pivotArea field="0" dataOnly="0" labelOnly="1" grandRow="1" outline="0" axis="axisRow" fieldPosition="0">
        <references count="1">
          <reference field="4294967294" count="1" selected="0">
            <x v="35"/>
          </reference>
        </references>
      </pivotArea>
    </format>
    <format dxfId="1129">
      <pivotArea outline="0" fieldPosition="0">
        <references count="2">
          <reference field="4294967294" count="1" selected="0">
            <x v="0"/>
          </reference>
          <reference field="0" count="1" selected="0">
            <x v="0"/>
          </reference>
        </references>
      </pivotArea>
    </format>
    <format dxfId="1128">
      <pivotArea dataOnly="0" labelOnly="1" outline="0" offset="IV1" fieldPosition="0">
        <references count="1">
          <reference field="0" count="1">
            <x v="0"/>
          </reference>
        </references>
      </pivotArea>
    </format>
    <format dxfId="1127">
      <pivotArea dataOnly="0" labelOnly="1" outline="0" fieldPosition="0">
        <references count="2">
          <reference field="4294967294" count="1">
            <x v="0"/>
          </reference>
          <reference field="0" count="1" selected="0">
            <x v="0"/>
          </reference>
        </references>
      </pivotArea>
    </format>
    <format dxfId="1126">
      <pivotArea outline="0" fieldPosition="0">
        <references count="2">
          <reference field="4294967294" count="1" selected="0">
            <x v="0"/>
          </reference>
          <reference field="0" count="1" selected="0">
            <x v="1"/>
          </reference>
        </references>
      </pivotArea>
    </format>
    <format dxfId="1125">
      <pivotArea dataOnly="0" labelOnly="1" outline="0" offset="IV1" fieldPosition="0">
        <references count="1">
          <reference field="0" count="1">
            <x v="1"/>
          </reference>
        </references>
      </pivotArea>
    </format>
    <format dxfId="1124">
      <pivotArea dataOnly="0" labelOnly="1" outline="0" fieldPosition="0">
        <references count="2">
          <reference field="4294967294" count="1">
            <x v="0"/>
          </reference>
          <reference field="0" count="1" selected="0">
            <x v="1"/>
          </reference>
        </references>
      </pivotArea>
    </format>
    <format dxfId="1123">
      <pivotArea outline="0" fieldPosition="0">
        <references count="2">
          <reference field="4294967294" count="1" selected="0">
            <x v="0"/>
          </reference>
          <reference field="0" count="1" selected="0">
            <x v="3"/>
          </reference>
        </references>
      </pivotArea>
    </format>
    <format dxfId="1122">
      <pivotArea dataOnly="0" labelOnly="1" outline="0" offset="IV1" fieldPosition="0">
        <references count="1">
          <reference field="0" count="1">
            <x v="3"/>
          </reference>
        </references>
      </pivotArea>
    </format>
    <format dxfId="1121">
      <pivotArea dataOnly="0" labelOnly="1" outline="0" fieldPosition="0">
        <references count="2">
          <reference field="4294967294" count="1">
            <x v="0"/>
          </reference>
          <reference field="0" count="1" selected="0">
            <x v="3"/>
          </reference>
        </references>
      </pivotArea>
    </format>
    <format dxfId="1120">
      <pivotArea outline="0" fieldPosition="0">
        <references count="2">
          <reference field="4294967294" count="1" selected="0">
            <x v="0"/>
          </reference>
          <reference field="0" count="1" selected="0">
            <x v="4"/>
          </reference>
        </references>
      </pivotArea>
    </format>
    <format dxfId="1119">
      <pivotArea dataOnly="0" labelOnly="1" outline="0" offset="IV1" fieldPosition="0">
        <references count="1">
          <reference field="0" count="1">
            <x v="4"/>
          </reference>
        </references>
      </pivotArea>
    </format>
    <format dxfId="1118">
      <pivotArea dataOnly="0" labelOnly="1" outline="0" fieldPosition="0">
        <references count="2">
          <reference field="4294967294" count="1">
            <x v="0"/>
          </reference>
          <reference field="0" count="1" selected="0">
            <x v="4"/>
          </reference>
        </references>
      </pivotArea>
    </format>
    <format dxfId="1117">
      <pivotArea outline="0" fieldPosition="0">
        <references count="2">
          <reference field="4294967294" count="1" selected="0">
            <x v="35"/>
          </reference>
          <reference field="0" count="1" selected="0">
            <x v="15"/>
          </reference>
        </references>
      </pivotArea>
    </format>
    <format dxfId="1116">
      <pivotArea dataOnly="0" labelOnly="1" outline="0" offset="IV256" fieldPosition="0">
        <references count="1">
          <reference field="0" count="1">
            <x v="15"/>
          </reference>
        </references>
      </pivotArea>
    </format>
    <format dxfId="1115">
      <pivotArea dataOnly="0" labelOnly="1" outline="0" fieldPosition="0">
        <references count="2">
          <reference field="4294967294" count="1">
            <x v="35"/>
          </reference>
          <reference field="0" count="1" selected="0">
            <x v="15"/>
          </reference>
        </references>
      </pivotArea>
    </format>
    <format dxfId="1114">
      <pivotArea outline="0" fieldPosition="0">
        <references count="4">
          <reference field="4294967294" count="6" selected="0">
            <x v="18"/>
            <x v="19"/>
            <x v="20"/>
            <x v="21"/>
            <x v="22"/>
            <x v="23"/>
          </reference>
          <reference field="0" count="1" selected="0">
            <x v="7"/>
          </reference>
          <reference field="4" count="1" selected="0">
            <x v="2"/>
          </reference>
          <reference field="33" count="1" selected="0">
            <x v="0"/>
          </reference>
        </references>
      </pivotArea>
    </format>
    <format dxfId="1113">
      <pivotArea outline="0" fieldPosition="0">
        <references count="4">
          <reference field="4294967294" count="1" selected="0">
            <x v="0"/>
          </reference>
          <reference field="0" count="1" selected="0">
            <x v="3"/>
          </reference>
          <reference field="4" count="1" selected="0">
            <x v="5"/>
          </reference>
          <reference field="33" count="1" selected="0">
            <x v="0"/>
          </reference>
        </references>
      </pivotArea>
    </format>
    <format dxfId="1112">
      <pivotArea outline="0" fieldPosition="0">
        <references count="1">
          <reference field="0" count="1" selected="0">
            <x v="0"/>
          </reference>
        </references>
      </pivotArea>
    </format>
    <format dxfId="1111">
      <pivotArea dataOnly="0" labelOnly="1" outline="0" fieldPosition="0">
        <references count="1">
          <reference field="0" count="1">
            <x v="0"/>
          </reference>
        </references>
      </pivotArea>
    </format>
    <format dxfId="1110">
      <pivotArea dataOnly="0" labelOnly="1" outline="0" fieldPosition="0">
        <references count="2">
          <reference field="4294967294" count="0"/>
          <reference field="0" count="1" selected="0">
            <x v="0"/>
          </reference>
        </references>
      </pivotArea>
    </format>
    <format dxfId="1109">
      <pivotArea outline="0" fieldPosition="0">
        <references count="4">
          <reference field="4294967294" count="3" selected="0">
            <x v="6"/>
            <x v="7"/>
            <x v="8"/>
          </reference>
          <reference field="0" count="1" selected="0">
            <x v="0"/>
          </reference>
          <reference field="4" count="1" selected="0">
            <x v="0"/>
          </reference>
          <reference field="33" count="1" selected="0">
            <x v="0"/>
          </reference>
        </references>
      </pivotArea>
    </format>
    <format dxfId="1108">
      <pivotArea outline="0" fieldPosition="0">
        <references count="4">
          <reference field="4294967294" count="3" selected="0">
            <x v="18"/>
            <x v="19"/>
            <x v="20"/>
          </reference>
          <reference field="0" count="1" selected="0">
            <x v="0"/>
          </reference>
          <reference field="4" count="1" selected="0">
            <x v="3"/>
          </reference>
          <reference field="33" count="1" selected="0">
            <x v="0"/>
          </reference>
        </references>
      </pivotArea>
    </format>
    <format dxfId="1107">
      <pivotArea outline="0" fieldPosition="0">
        <references count="4">
          <reference field="4294967294" count="3" selected="0">
            <x v="24"/>
            <x v="25"/>
            <x v="26"/>
          </reference>
          <reference field="0" count="1" selected="0">
            <x v="0"/>
          </reference>
          <reference field="4" count="1" selected="0">
            <x v="3"/>
          </reference>
          <reference field="33" count="1" selected="0">
            <x v="0"/>
          </reference>
        </references>
      </pivotArea>
    </format>
    <format dxfId="1106">
      <pivotArea outline="0" fieldPosition="0">
        <references count="4">
          <reference field="4294967294" count="3" selected="0">
            <x v="18"/>
            <x v="19"/>
            <x v="20"/>
          </reference>
          <reference field="0" count="1" selected="0">
            <x v="0"/>
          </reference>
          <reference field="4" count="1" selected="0">
            <x v="4"/>
          </reference>
          <reference field="33" count="1" selected="0">
            <x v="0"/>
          </reference>
        </references>
      </pivotArea>
    </format>
    <format dxfId="1105">
      <pivotArea outline="0" fieldPosition="0">
        <references count="4">
          <reference field="4294967294" count="3" selected="0">
            <x v="24"/>
            <x v="25"/>
            <x v="26"/>
          </reference>
          <reference field="0" count="1" selected="0">
            <x v="0"/>
          </reference>
          <reference field="4" count="1" selected="0">
            <x v="4"/>
          </reference>
          <reference field="33" count="1" selected="0">
            <x v="0"/>
          </reference>
        </references>
      </pivotArea>
    </format>
    <format dxfId="1104">
      <pivotArea outline="0" fieldPosition="0">
        <references count="4">
          <reference field="4294967294" count="3" selected="0">
            <x v="24"/>
            <x v="25"/>
            <x v="26"/>
          </reference>
          <reference field="0" count="1" selected="0">
            <x v="0"/>
          </reference>
          <reference field="4" count="1" selected="0">
            <x v="0"/>
          </reference>
          <reference field="33" count="1" selected="0">
            <x v="0"/>
          </reference>
        </references>
      </pivotArea>
    </format>
    <format dxfId="1103">
      <pivotArea outline="0" fieldPosition="0">
        <references count="4">
          <reference field="4294967294" count="3" selected="0">
            <x v="9"/>
            <x v="10"/>
            <x v="11"/>
          </reference>
          <reference field="0" count="1" selected="0">
            <x v="0"/>
          </reference>
          <reference field="4" count="1" selected="0">
            <x v="0"/>
          </reference>
          <reference field="33" count="1" selected="0">
            <x v="0"/>
          </reference>
        </references>
      </pivotArea>
    </format>
    <format dxfId="1102">
      <pivotArea outline="0" fieldPosition="0">
        <references count="4">
          <reference field="4294967294" count="3" selected="0">
            <x v="6"/>
            <x v="7"/>
            <x v="8"/>
          </reference>
          <reference field="0" count="1" selected="0">
            <x v="0"/>
          </reference>
          <reference field="4" count="1" selected="0">
            <x v="9"/>
          </reference>
          <reference field="33" count="1" selected="0">
            <x v="1"/>
          </reference>
        </references>
      </pivotArea>
    </format>
    <format dxfId="1101">
      <pivotArea outline="0" fieldPosition="0">
        <references count="4">
          <reference field="4294967294" count="3" selected="0">
            <x v="6"/>
            <x v="7"/>
            <x v="8"/>
          </reference>
          <reference field="0" count="1" selected="0">
            <x v="0"/>
          </reference>
          <reference field="4" count="1" selected="0">
            <x v="5"/>
          </reference>
          <reference field="33" count="1" selected="0">
            <x v="0"/>
          </reference>
        </references>
      </pivotArea>
    </format>
    <format dxfId="1100">
      <pivotArea outline="0" fieldPosition="0">
        <references count="4">
          <reference field="4294967294" count="3" selected="0">
            <x v="18"/>
            <x v="19"/>
            <x v="20"/>
          </reference>
          <reference field="0" count="1" selected="0">
            <x v="3"/>
          </reference>
          <reference field="4" count="1" selected="0">
            <x v="4"/>
          </reference>
          <reference field="33" count="1" selected="0">
            <x v="0"/>
          </reference>
        </references>
      </pivotArea>
    </format>
    <format dxfId="1099">
      <pivotArea outline="0" fieldPosition="0">
        <references count="4">
          <reference field="4294967294" count="1" selected="0">
            <x v="34"/>
          </reference>
          <reference field="0" count="1" selected="0">
            <x v="3"/>
          </reference>
          <reference field="4" count="1" selected="0">
            <x v="0"/>
          </reference>
          <reference field="33" count="1" selected="0">
            <x v="0"/>
          </reference>
        </references>
      </pivotArea>
    </format>
    <format dxfId="1098">
      <pivotArea outline="0" fieldPosition="0">
        <references count="4">
          <reference field="4294967294" count="1" selected="0">
            <x v="10"/>
          </reference>
          <reference field="0" count="1" selected="0">
            <x v="3"/>
          </reference>
          <reference field="4" count="1" selected="0">
            <x v="0"/>
          </reference>
          <reference field="33" count="1" selected="0">
            <x v="0"/>
          </reference>
        </references>
      </pivotArea>
    </format>
    <format dxfId="1097">
      <pivotArea outline="0" fieldPosition="0">
        <references count="4">
          <reference field="4294967294" count="3" selected="0">
            <x v="21"/>
            <x v="22"/>
            <x v="23"/>
          </reference>
          <reference field="0" count="1" selected="0">
            <x v="3"/>
          </reference>
          <reference field="4" count="1" selected="0">
            <x v="4"/>
          </reference>
          <reference field="33" count="1" selected="0">
            <x v="0"/>
          </reference>
        </references>
      </pivotArea>
    </format>
    <format dxfId="1096">
      <pivotArea outline="0" fieldPosition="0">
        <references count="4">
          <reference field="4294967294" count="3" selected="0">
            <x v="6"/>
            <x v="7"/>
            <x v="8"/>
          </reference>
          <reference field="0" count="1" selected="0">
            <x v="4"/>
          </reference>
          <reference field="4" count="1" selected="0">
            <x v="5"/>
          </reference>
          <reference field="33" count="1" selected="0">
            <x v="0"/>
          </reference>
        </references>
      </pivotArea>
    </format>
    <format dxfId="1095">
      <pivotArea outline="0" fieldPosition="0">
        <references count="4">
          <reference field="4294967294" count="3" selected="0">
            <x v="0"/>
            <x v="1"/>
            <x v="2"/>
          </reference>
          <reference field="0" count="1" selected="0">
            <x v="4"/>
          </reference>
          <reference field="4" count="1" selected="0">
            <x v="5"/>
          </reference>
          <reference field="33" count="1" selected="0">
            <x v="0"/>
          </reference>
        </references>
      </pivotArea>
    </format>
    <format dxfId="1094">
      <pivotArea outline="0" fieldPosition="0">
        <references count="4">
          <reference field="4294967294" count="3" selected="0">
            <x v="6"/>
            <x v="7"/>
            <x v="8"/>
          </reference>
          <reference field="0" count="1" selected="0">
            <x v="4"/>
          </reference>
          <reference field="4" count="1" selected="0">
            <x v="5"/>
          </reference>
          <reference field="33" count="1" selected="0">
            <x v="0"/>
          </reference>
        </references>
      </pivotArea>
    </format>
    <format dxfId="1093">
      <pivotArea outline="0" fieldPosition="0">
        <references count="4">
          <reference field="4294967294" count="3" selected="0">
            <x v="21"/>
            <x v="22"/>
            <x v="23"/>
          </reference>
          <reference field="0" count="1" selected="0">
            <x v="3"/>
          </reference>
          <reference field="4" count="1" selected="0">
            <x v="4"/>
          </reference>
          <reference field="33" count="1" selected="0">
            <x v="0"/>
          </reference>
        </references>
      </pivotArea>
    </format>
    <format dxfId="1092">
      <pivotArea outline="0" fieldPosition="0">
        <references count="4">
          <reference field="4294967294" count="3" selected="0">
            <x v="21"/>
            <x v="22"/>
            <x v="23"/>
          </reference>
          <reference field="0" count="1" selected="0">
            <x v="4"/>
          </reference>
          <reference field="4" count="1" selected="0">
            <x v="2"/>
          </reference>
          <reference field="33" count="1" selected="0">
            <x v="0"/>
          </reference>
        </references>
      </pivotArea>
    </format>
    <format dxfId="1091">
      <pivotArea outline="0" fieldPosition="0">
        <references count="4">
          <reference field="4294967294" count="3" selected="0">
            <x v="24"/>
            <x v="25"/>
            <x v="26"/>
          </reference>
          <reference field="0" count="1" selected="0">
            <x v="4"/>
          </reference>
          <reference field="4" count="1" selected="0">
            <x v="2"/>
          </reference>
          <reference field="33" count="1" selected="0">
            <x v="0"/>
          </reference>
        </references>
      </pivotArea>
    </format>
    <format dxfId="1090">
      <pivotArea outline="0" fieldPosition="0">
        <references count="4">
          <reference field="4294967294" count="3" selected="0">
            <x v="21"/>
            <x v="22"/>
            <x v="23"/>
          </reference>
          <reference field="0" count="1" selected="0">
            <x v="4"/>
          </reference>
          <reference field="4" count="1" selected="0">
            <x v="4"/>
          </reference>
          <reference field="33" count="1" selected="0">
            <x v="0"/>
          </reference>
        </references>
      </pivotArea>
    </format>
    <format dxfId="1089">
      <pivotArea outline="0" fieldPosition="0">
        <references count="3">
          <reference field="4294967294" count="1" selected="0">
            <x v="34"/>
          </reference>
          <reference field="0" count="1" selected="0">
            <x v="4"/>
          </reference>
          <reference field="33" count="1" selected="0" defaultSubtotal="1">
            <x v="0"/>
          </reference>
        </references>
      </pivotArea>
    </format>
    <format dxfId="1088">
      <pivotArea outline="0" fieldPosition="0">
        <references count="4">
          <reference field="4294967294" count="3" selected="0">
            <x v="0"/>
            <x v="1"/>
            <x v="2"/>
          </reference>
          <reference field="0" count="1" selected="0">
            <x v="5"/>
          </reference>
          <reference field="4" count="1" selected="0">
            <x v="1"/>
          </reference>
          <reference field="33" count="1" selected="0">
            <x v="0"/>
          </reference>
        </references>
      </pivotArea>
    </format>
    <format dxfId="1087">
      <pivotArea outline="0" fieldPosition="0">
        <references count="4">
          <reference field="4294967294" count="3" selected="0">
            <x v="6"/>
            <x v="7"/>
            <x v="8"/>
          </reference>
          <reference field="0" count="1" selected="0">
            <x v="5"/>
          </reference>
          <reference field="4" count="1" selected="0">
            <x v="1"/>
          </reference>
          <reference field="33" count="1" selected="0">
            <x v="0"/>
          </reference>
        </references>
      </pivotArea>
    </format>
    <format dxfId="1086">
      <pivotArea outline="0" fieldPosition="0">
        <references count="4">
          <reference field="4294967294" count="3" selected="0">
            <x v="18"/>
            <x v="19"/>
            <x v="20"/>
          </reference>
          <reference field="0" count="1" selected="0">
            <x v="5"/>
          </reference>
          <reference field="4" count="1" selected="0">
            <x v="1"/>
          </reference>
          <reference field="33" count="1" selected="0">
            <x v="0"/>
          </reference>
        </references>
      </pivotArea>
    </format>
    <format dxfId="1085">
      <pivotArea outline="0" fieldPosition="0">
        <references count="4">
          <reference field="4294967294" count="3" selected="0">
            <x v="24"/>
            <x v="25"/>
            <x v="26"/>
          </reference>
          <reference field="0" count="1" selected="0">
            <x v="5"/>
          </reference>
          <reference field="4" count="1" selected="0">
            <x v="1"/>
          </reference>
          <reference field="33" count="1" selected="0">
            <x v="0"/>
          </reference>
        </references>
      </pivotArea>
    </format>
    <format dxfId="1084">
      <pivotArea outline="0" fieldPosition="0">
        <references count="4">
          <reference field="4294967294" count="3" selected="0">
            <x v="24"/>
            <x v="25"/>
            <x v="26"/>
          </reference>
          <reference field="0" count="1" selected="0">
            <x v="5"/>
          </reference>
          <reference field="4" count="1" selected="0">
            <x v="2"/>
          </reference>
          <reference field="33" count="1" selected="0">
            <x v="0"/>
          </reference>
        </references>
      </pivotArea>
    </format>
    <format dxfId="1083">
      <pivotArea outline="0" fieldPosition="0">
        <references count="4">
          <reference field="4294967294" count="3" selected="0">
            <x v="24"/>
            <x v="25"/>
            <x v="26"/>
          </reference>
          <reference field="0" count="1" selected="0">
            <x v="5"/>
          </reference>
          <reference field="4" count="1" selected="0">
            <x v="3"/>
          </reference>
          <reference field="33" count="1" selected="0">
            <x v="0"/>
          </reference>
        </references>
      </pivotArea>
    </format>
    <format dxfId="1082">
      <pivotArea outline="0" fieldPosition="0">
        <references count="4">
          <reference field="4294967294" count="3" selected="0">
            <x v="0"/>
            <x v="1"/>
            <x v="2"/>
          </reference>
          <reference field="0" count="1" selected="0">
            <x v="5"/>
          </reference>
          <reference field="4" count="1" selected="0">
            <x v="9"/>
          </reference>
          <reference field="33" count="1" selected="0">
            <x v="1"/>
          </reference>
        </references>
      </pivotArea>
    </format>
    <format dxfId="1081">
      <pivotArea outline="0" fieldPosition="0">
        <references count="4">
          <reference field="4294967294" count="3" selected="0">
            <x v="6"/>
            <x v="7"/>
            <x v="8"/>
          </reference>
          <reference field="0" count="1" selected="0">
            <x v="5"/>
          </reference>
          <reference field="4" count="1" selected="0">
            <x v="9"/>
          </reference>
          <reference field="33" count="1" selected="0">
            <x v="1"/>
          </reference>
        </references>
      </pivotArea>
    </format>
    <format dxfId="1080">
      <pivotArea outline="0" fieldPosition="0">
        <references count="4">
          <reference field="4294967294" count="3" selected="0">
            <x v="3"/>
            <x v="4"/>
            <x v="5"/>
          </reference>
          <reference field="0" count="1" selected="0">
            <x v="7"/>
          </reference>
          <reference field="4" count="1" selected="0">
            <x v="12"/>
          </reference>
          <reference field="33" count="1" selected="0">
            <x v="0"/>
          </reference>
        </references>
      </pivotArea>
    </format>
    <format dxfId="1079">
      <pivotArea outline="0" fieldPosition="0">
        <references count="4">
          <reference field="4294967294" count="3" selected="0">
            <x v="6"/>
            <x v="7"/>
            <x v="8"/>
          </reference>
          <reference field="0" count="1" selected="0">
            <x v="7"/>
          </reference>
          <reference field="4" count="1" selected="0">
            <x v="12"/>
          </reference>
          <reference field="33" count="1" selected="0">
            <x v="0"/>
          </reference>
        </references>
      </pivotArea>
    </format>
    <format dxfId="1078">
      <pivotArea outline="0" fieldPosition="0">
        <references count="4">
          <reference field="4294967294" count="3" selected="0">
            <x v="18"/>
            <x v="19"/>
            <x v="20"/>
          </reference>
          <reference field="0" count="1" selected="0">
            <x v="7"/>
          </reference>
          <reference field="4" count="1" selected="0">
            <x v="2"/>
          </reference>
          <reference field="33" count="1" selected="0">
            <x v="0"/>
          </reference>
        </references>
      </pivotArea>
    </format>
    <format dxfId="1077">
      <pivotArea outline="0" fieldPosition="0">
        <references count="4">
          <reference field="4294967294" count="3" selected="0">
            <x v="21"/>
            <x v="22"/>
            <x v="23"/>
          </reference>
          <reference field="0" count="1" selected="0">
            <x v="7"/>
          </reference>
          <reference field="4" count="1" selected="0">
            <x v="2"/>
          </reference>
          <reference field="33" count="1" selected="0">
            <x v="0"/>
          </reference>
        </references>
      </pivotArea>
    </format>
    <format dxfId="1076">
      <pivotArea outline="0" fieldPosition="0">
        <references count="4">
          <reference field="4294967294" count="3" selected="0">
            <x v="24"/>
            <x v="25"/>
            <x v="26"/>
          </reference>
          <reference field="0" count="1" selected="0">
            <x v="8"/>
          </reference>
          <reference field="4" count="1" selected="0">
            <x v="1"/>
          </reference>
          <reference field="33" count="1" selected="0">
            <x v="0"/>
          </reference>
        </references>
      </pivotArea>
    </format>
    <format dxfId="1075">
      <pivotArea outline="0" fieldPosition="0">
        <references count="4">
          <reference field="4294967294" count="3" selected="0">
            <x v="21"/>
            <x v="22"/>
            <x v="23"/>
          </reference>
          <reference field="0" count="1" selected="0">
            <x v="9"/>
          </reference>
          <reference field="4" count="1" selected="0">
            <x v="2"/>
          </reference>
          <reference field="33" count="1" selected="0">
            <x v="0"/>
          </reference>
        </references>
      </pivotArea>
    </format>
    <format dxfId="1074">
      <pivotArea outline="0" fieldPosition="0">
        <references count="4">
          <reference field="4294967294" count="3" selected="0">
            <x v="21"/>
            <x v="22"/>
            <x v="23"/>
          </reference>
          <reference field="0" count="1" selected="0">
            <x v="9"/>
          </reference>
          <reference field="4" count="1" selected="0">
            <x v="3"/>
          </reference>
          <reference field="33" count="1" selected="0">
            <x v="0"/>
          </reference>
        </references>
      </pivotArea>
    </format>
    <format dxfId="1073">
      <pivotArea outline="0" fieldPosition="0">
        <references count="4">
          <reference field="4294967294" count="3" selected="0">
            <x v="24"/>
            <x v="25"/>
            <x v="26"/>
          </reference>
          <reference field="0" count="1" selected="0">
            <x v="9"/>
          </reference>
          <reference field="4" count="1" selected="0">
            <x v="4"/>
          </reference>
          <reference field="33" count="1" selected="0">
            <x v="0"/>
          </reference>
        </references>
      </pivotArea>
    </format>
    <format dxfId="1072">
      <pivotArea outline="0" fieldPosition="0">
        <references count="4">
          <reference field="4294967294" count="3" selected="0">
            <x v="18"/>
            <x v="19"/>
            <x v="20"/>
          </reference>
          <reference field="0" count="1" selected="0">
            <x v="9"/>
          </reference>
          <reference field="4" count="1" selected="0">
            <x v="4"/>
          </reference>
          <reference field="33" count="1" selected="0">
            <x v="0"/>
          </reference>
        </references>
      </pivotArea>
    </format>
    <format dxfId="1071">
      <pivotArea outline="0" fieldPosition="0">
        <references count="4">
          <reference field="4294967294" count="3" selected="0">
            <x v="18"/>
            <x v="19"/>
            <x v="20"/>
          </reference>
          <reference field="0" count="1" selected="0">
            <x v="9"/>
          </reference>
          <reference field="4" count="1" selected="0">
            <x v="3"/>
          </reference>
          <reference field="33" count="1" selected="0">
            <x v="0"/>
          </reference>
        </references>
      </pivotArea>
    </format>
    <format dxfId="1070">
      <pivotArea outline="0" fieldPosition="0">
        <references count="4">
          <reference field="4294967294" count="3" selected="0">
            <x v="18"/>
            <x v="19"/>
            <x v="20"/>
          </reference>
          <reference field="0" count="1" selected="0">
            <x v="10"/>
          </reference>
          <reference field="4" count="1" selected="0">
            <x v="0"/>
          </reference>
          <reference field="33" count="1" selected="0">
            <x v="0"/>
          </reference>
        </references>
      </pivotArea>
    </format>
    <format dxfId="1069">
      <pivotArea outline="0" fieldPosition="0">
        <references count="4">
          <reference field="4294967294" count="3" selected="0">
            <x v="21"/>
            <x v="22"/>
            <x v="23"/>
          </reference>
          <reference field="0" count="1" selected="0">
            <x v="10"/>
          </reference>
          <reference field="4" count="1" selected="0">
            <x v="0"/>
          </reference>
          <reference field="33" count="1" selected="0">
            <x v="0"/>
          </reference>
        </references>
      </pivotArea>
    </format>
    <format dxfId="1068">
      <pivotArea outline="0" fieldPosition="0">
        <references count="4">
          <reference field="4294967294" count="3" selected="0">
            <x v="18"/>
            <x v="19"/>
            <x v="20"/>
          </reference>
          <reference field="0" count="1" selected="0">
            <x v="10"/>
          </reference>
          <reference field="4" count="1" selected="0">
            <x v="4"/>
          </reference>
          <reference field="33" count="1" selected="0">
            <x v="0"/>
          </reference>
        </references>
      </pivotArea>
    </format>
    <format dxfId="1067">
      <pivotArea outline="0" fieldPosition="0">
        <references count="4">
          <reference field="4294967294" count="3" selected="0">
            <x v="24"/>
            <x v="25"/>
            <x v="26"/>
          </reference>
          <reference field="0" count="1" selected="0">
            <x v="10"/>
          </reference>
          <reference field="4" count="1" selected="0">
            <x v="4"/>
          </reference>
          <reference field="33" count="1" selected="0">
            <x v="0"/>
          </reference>
        </references>
      </pivotArea>
    </format>
    <format dxfId="1066">
      <pivotArea outline="0" fieldPosition="0">
        <references count="4">
          <reference field="4294967294" count="3" selected="0">
            <x v="27"/>
            <x v="28"/>
            <x v="29"/>
          </reference>
          <reference field="0" count="1" selected="0">
            <x v="10"/>
          </reference>
          <reference field="4" count="1" selected="0">
            <x v="4"/>
          </reference>
          <reference field="33" count="1" selected="0">
            <x v="0"/>
          </reference>
        </references>
      </pivotArea>
    </format>
    <format dxfId="1065">
      <pivotArea outline="0" fieldPosition="0">
        <references count="4">
          <reference field="4294967294" count="3" selected="0">
            <x v="27"/>
            <x v="28"/>
            <x v="29"/>
          </reference>
          <reference field="0" count="1" selected="0">
            <x v="10"/>
          </reference>
          <reference field="4" count="1" selected="0">
            <x v="0"/>
          </reference>
          <reference field="33" count="1" selected="0">
            <x v="0"/>
          </reference>
        </references>
      </pivotArea>
    </format>
    <format dxfId="1064">
      <pivotArea outline="0" fieldPosition="0">
        <references count="4">
          <reference field="4294967294" count="3" selected="0">
            <x v="0"/>
            <x v="1"/>
            <x v="2"/>
          </reference>
          <reference field="0" count="1" selected="0">
            <x v="13"/>
          </reference>
          <reference field="4" count="1" selected="0">
            <x v="4"/>
          </reference>
          <reference field="33" count="1" selected="0">
            <x v="0"/>
          </reference>
        </references>
      </pivotArea>
    </format>
    <format dxfId="1063">
      <pivotArea outline="0" fieldPosition="0">
        <references count="4">
          <reference field="4294967294" count="3" selected="0">
            <x v="0"/>
            <x v="1"/>
            <x v="2"/>
          </reference>
          <reference field="0" count="1" selected="0">
            <x v="13"/>
          </reference>
          <reference field="4" count="1" selected="0">
            <x v="3"/>
          </reference>
          <reference field="33" count="1" selected="0">
            <x v="0"/>
          </reference>
        </references>
      </pivotArea>
    </format>
    <format dxfId="1062">
      <pivotArea outline="0" fieldPosition="0">
        <references count="4">
          <reference field="4294967294" count="3" selected="0">
            <x v="6"/>
            <x v="7"/>
            <x v="8"/>
          </reference>
          <reference field="0" count="1" selected="0">
            <x v="13"/>
          </reference>
          <reference field="4" count="1" selected="0">
            <x v="4"/>
          </reference>
          <reference field="33" count="1" selected="0">
            <x v="0"/>
          </reference>
        </references>
      </pivotArea>
    </format>
    <format dxfId="1061">
      <pivotArea outline="0" fieldPosition="0">
        <references count="4">
          <reference field="4294967294" count="3" selected="0">
            <x v="18"/>
            <x v="19"/>
            <x v="20"/>
          </reference>
          <reference field="0" count="1" selected="0">
            <x v="13"/>
          </reference>
          <reference field="4" count="1" selected="0">
            <x v="5"/>
          </reference>
          <reference field="33" count="1" selected="0">
            <x v="0"/>
          </reference>
        </references>
      </pivotArea>
    </format>
    <format dxfId="1060">
      <pivotArea outline="0" fieldPosition="0">
        <references count="4">
          <reference field="4294967294" count="3" selected="0">
            <x v="21"/>
            <x v="22"/>
            <x v="23"/>
          </reference>
          <reference field="0" count="1" selected="0">
            <x v="13"/>
          </reference>
          <reference field="4" count="1" selected="0">
            <x v="5"/>
          </reference>
          <reference field="33" count="1" selected="0">
            <x v="0"/>
          </reference>
        </references>
      </pivotArea>
    </format>
    <format dxfId="1059">
      <pivotArea outline="0" fieldPosition="0">
        <references count="4">
          <reference field="4294967294" count="3" selected="0">
            <x v="0"/>
            <x v="1"/>
            <x v="2"/>
          </reference>
          <reference field="0" count="1" selected="0">
            <x v="13"/>
          </reference>
          <reference field="4" count="1" selected="0">
            <x v="9"/>
          </reference>
          <reference field="33" count="1" selected="0">
            <x v="1"/>
          </reference>
        </references>
      </pivotArea>
    </format>
    <format dxfId="1058">
      <pivotArea outline="0" fieldPosition="0">
        <references count="4">
          <reference field="4294967294" count="3" selected="0">
            <x v="3"/>
            <x v="4"/>
            <x v="5"/>
          </reference>
          <reference field="0" count="1" selected="0">
            <x v="13"/>
          </reference>
          <reference field="4" count="1" selected="0">
            <x v="9"/>
          </reference>
          <reference field="33" count="1" selected="0">
            <x v="1"/>
          </reference>
        </references>
      </pivotArea>
    </format>
    <format dxfId="1057">
      <pivotArea outline="0" fieldPosition="0">
        <references count="4">
          <reference field="4294967294" count="3" selected="0">
            <x v="6"/>
            <x v="7"/>
            <x v="8"/>
          </reference>
          <reference field="0" count="1" selected="0">
            <x v="13"/>
          </reference>
          <reference field="4" count="1" selected="0">
            <x v="9"/>
          </reference>
          <reference field="33" count="1" selected="0">
            <x v="1"/>
          </reference>
        </references>
      </pivotArea>
    </format>
    <format dxfId="1056">
      <pivotArea outline="0" fieldPosition="0">
        <references count="4">
          <reference field="4294967294" count="3" selected="0">
            <x v="24"/>
            <x v="25"/>
            <x v="26"/>
          </reference>
          <reference field="0" count="1" selected="0">
            <x v="13"/>
          </reference>
          <reference field="4" count="1" selected="0">
            <x v="1"/>
          </reference>
          <reference field="33" count="1" selected="0">
            <x v="0"/>
          </reference>
        </references>
      </pivotArea>
    </format>
    <format dxfId="1055">
      <pivotArea outline="0" fieldPosition="0">
        <references count="4">
          <reference field="4294967294" count="3" selected="0">
            <x v="18"/>
            <x v="19"/>
            <x v="20"/>
          </reference>
          <reference field="0" count="1" selected="0">
            <x v="15"/>
          </reference>
          <reference field="4" count="1" selected="0">
            <x v="0"/>
          </reference>
          <reference field="33" count="1" selected="0">
            <x v="0"/>
          </reference>
        </references>
      </pivotArea>
    </format>
    <format dxfId="1054">
      <pivotArea outline="0" fieldPosition="0">
        <references count="4">
          <reference field="4294967294" count="3" selected="0">
            <x v="18"/>
            <x v="19"/>
            <x v="20"/>
          </reference>
          <reference field="0" count="1" selected="0">
            <x v="15"/>
          </reference>
          <reference field="4" count="1" selected="0">
            <x v="5"/>
          </reference>
          <reference field="33" count="1" selected="0">
            <x v="0"/>
          </reference>
        </references>
      </pivotArea>
    </format>
    <format dxfId="1053">
      <pivotArea outline="0" fieldPosition="0">
        <references count="4">
          <reference field="4294967294" count="3" selected="0">
            <x v="24"/>
            <x v="25"/>
            <x v="26"/>
          </reference>
          <reference field="0" count="1" selected="0">
            <x v="15"/>
          </reference>
          <reference field="4" count="1" selected="0">
            <x v="5"/>
          </reference>
          <reference field="33" count="1" selected="0">
            <x v="0"/>
          </reference>
        </references>
      </pivotArea>
    </format>
    <format dxfId="1052">
      <pivotArea outline="0" fieldPosition="0">
        <references count="4">
          <reference field="4294967294" count="3" selected="0">
            <x v="21"/>
            <x v="22"/>
            <x v="23"/>
          </reference>
          <reference field="0" count="1" selected="0">
            <x v="15"/>
          </reference>
          <reference field="4" count="1" selected="0">
            <x v="2"/>
          </reference>
          <reference field="33" count="1" selected="0">
            <x v="0"/>
          </reference>
        </references>
      </pivotArea>
    </format>
    <format dxfId="1051">
      <pivotArea outline="0" fieldPosition="0">
        <references count="4">
          <reference field="4294967294" count="3" selected="0">
            <x v="24"/>
            <x v="25"/>
            <x v="26"/>
          </reference>
          <reference field="0" count="1" selected="0">
            <x v="15"/>
          </reference>
          <reference field="4" count="1" selected="0">
            <x v="2"/>
          </reference>
          <reference field="33" count="1" selected="0">
            <x v="0"/>
          </reference>
        </references>
      </pivotArea>
    </format>
    <format dxfId="1050">
      <pivotArea outline="0" fieldPosition="0">
        <references count="4">
          <reference field="4294967294" count="3" selected="0">
            <x v="0"/>
            <x v="1"/>
            <x v="2"/>
          </reference>
          <reference field="0" count="1" selected="0">
            <x v="15"/>
          </reference>
          <reference field="4" count="1" selected="0">
            <x v="8"/>
          </reference>
          <reference field="33" count="1" selected="0">
            <x v="1"/>
          </reference>
        </references>
      </pivotArea>
    </format>
    <format dxfId="1049">
      <pivotArea outline="0" fieldPosition="0">
        <references count="4">
          <reference field="4294967294" count="3" selected="0">
            <x v="3"/>
            <x v="4"/>
            <x v="5"/>
          </reference>
          <reference field="0" count="1" selected="0">
            <x v="15"/>
          </reference>
          <reference field="4" count="1" selected="0">
            <x v="8"/>
          </reference>
          <reference field="33" count="1" selected="0">
            <x v="1"/>
          </reference>
        </references>
      </pivotArea>
    </format>
    <format dxfId="1048">
      <pivotArea dataOnly="0" labelOnly="1" outline="0" fieldPosition="0">
        <references count="2">
          <reference field="4294967294" count="1">
            <x v="5"/>
          </reference>
          <reference field="0" count="1" selected="0">
            <x v="0"/>
          </reference>
        </references>
      </pivotArea>
    </format>
    <format dxfId="1047">
      <pivotArea dataOnly="0" labelOnly="1" outline="0" fieldPosition="0">
        <references count="2">
          <reference field="4294967294" count="1">
            <x v="8"/>
          </reference>
          <reference field="0" count="1" selected="0">
            <x v="0"/>
          </reference>
        </references>
      </pivotArea>
    </format>
    <format dxfId="1046">
      <pivotArea dataOnly="0" labelOnly="1" outline="0" fieldPosition="0">
        <references count="2">
          <reference field="4294967294" count="1">
            <x v="11"/>
          </reference>
          <reference field="0" count="1" selected="0">
            <x v="0"/>
          </reference>
        </references>
      </pivotArea>
    </format>
    <format dxfId="1045">
      <pivotArea dataOnly="0" labelOnly="1" outline="0" fieldPosition="0">
        <references count="2">
          <reference field="4294967294" count="1">
            <x v="14"/>
          </reference>
          <reference field="0" count="1" selected="0">
            <x v="0"/>
          </reference>
        </references>
      </pivotArea>
    </format>
    <format dxfId="1044">
      <pivotArea dataOnly="0" labelOnly="1" outline="0" fieldPosition="0">
        <references count="2">
          <reference field="4294967294" count="1">
            <x v="17"/>
          </reference>
          <reference field="0" count="1" selected="0">
            <x v="0"/>
          </reference>
        </references>
      </pivotArea>
    </format>
    <format dxfId="1043">
      <pivotArea dataOnly="0" labelOnly="1" outline="0" fieldPosition="0">
        <references count="2">
          <reference field="4294967294" count="1">
            <x v="20"/>
          </reference>
          <reference field="0" count="1" selected="0">
            <x v="0"/>
          </reference>
        </references>
      </pivotArea>
    </format>
    <format dxfId="1042">
      <pivotArea dataOnly="0" labelOnly="1" outline="0" fieldPosition="0">
        <references count="2">
          <reference field="4294967294" count="1">
            <x v="23"/>
          </reference>
          <reference field="0" count="1" selected="0">
            <x v="0"/>
          </reference>
        </references>
      </pivotArea>
    </format>
    <format dxfId="1041">
      <pivotArea dataOnly="0" labelOnly="1" outline="0" fieldPosition="0">
        <references count="2">
          <reference field="4294967294" count="1">
            <x v="26"/>
          </reference>
          <reference field="0" count="1" selected="0">
            <x v="0"/>
          </reference>
        </references>
      </pivotArea>
    </format>
    <format dxfId="1040">
      <pivotArea dataOnly="0" labelOnly="1" outline="0" fieldPosition="0">
        <references count="2">
          <reference field="4294967294" count="1">
            <x v="29"/>
          </reference>
          <reference field="0" count="1" selected="0">
            <x v="0"/>
          </reference>
        </references>
      </pivotArea>
    </format>
    <format dxfId="1039">
      <pivotArea dataOnly="0" labelOnly="1" outline="0" fieldPosition="0">
        <references count="2">
          <reference field="4294967294" count="1">
            <x v="32"/>
          </reference>
          <reference field="0" count="1" selected="0">
            <x v="0"/>
          </reference>
        </references>
      </pivotArea>
    </format>
    <format dxfId="1038">
      <pivotArea dataOnly="0" labelOnly="1" outline="0" fieldPosition="0">
        <references count="2">
          <reference field="4294967294" count="1">
            <x v="35"/>
          </reference>
          <reference field="0" count="1" selected="0">
            <x v="0"/>
          </reference>
        </references>
      </pivotArea>
    </format>
    <format dxfId="1037">
      <pivotArea outline="0" fieldPosition="0">
        <references count="4">
          <reference field="4294967294" count="3" selected="0">
            <x v="0"/>
            <x v="1"/>
            <x v="2"/>
          </reference>
          <reference field="0" count="1" selected="0">
            <x v="1"/>
          </reference>
          <reference field="4" count="1" selected="0">
            <x v="5"/>
          </reference>
          <reference field="33" count="1" selected="0">
            <x v="0"/>
          </reference>
        </references>
      </pivotArea>
    </format>
    <format dxfId="1036">
      <pivotArea outline="0" fieldPosition="0">
        <references count="4">
          <reference field="4294967294" count="1" selected="0">
            <x v="6"/>
          </reference>
          <reference field="0" count="1" selected="0">
            <x v="1"/>
          </reference>
          <reference field="4" count="1" selected="0">
            <x v="0"/>
          </reference>
          <reference field="33" count="1" selected="0">
            <x v="0"/>
          </reference>
        </references>
      </pivotArea>
    </format>
    <format dxfId="1035">
      <pivotArea outline="0" fieldPosition="0">
        <references count="4">
          <reference field="4294967294" count="3" selected="0">
            <x v="18"/>
            <x v="19"/>
            <x v="20"/>
          </reference>
          <reference field="0" count="1" selected="0">
            <x v="1"/>
          </reference>
          <reference field="4" count="1" selected="0">
            <x v="5"/>
          </reference>
          <reference field="33" count="1" selected="0">
            <x v="0"/>
          </reference>
        </references>
      </pivotArea>
    </format>
    <format dxfId="1034">
      <pivotArea outline="0" fieldPosition="0">
        <references count="4">
          <reference field="4294967294" count="1" selected="0">
            <x v="6"/>
          </reference>
          <reference field="0" count="1" selected="0">
            <x v="1"/>
          </reference>
          <reference field="4" count="1" selected="0">
            <x v="5"/>
          </reference>
          <reference field="33" count="1" selected="0">
            <x v="0"/>
          </reference>
        </references>
      </pivotArea>
    </format>
    <format dxfId="1033">
      <pivotArea outline="0" fieldPosition="0">
        <references count="4">
          <reference field="4294967294" count="3" selected="0">
            <x v="6"/>
            <x v="7"/>
            <x v="8"/>
          </reference>
          <reference field="0" count="1" selected="0">
            <x v="1"/>
          </reference>
          <reference field="4" count="1" selected="0">
            <x v="8"/>
          </reference>
          <reference field="33" count="1" selected="0">
            <x v="1"/>
          </reference>
        </references>
      </pivotArea>
    </format>
    <format dxfId="1032">
      <pivotArea outline="0" fieldPosition="0">
        <references count="4">
          <reference field="4294967294" count="3" selected="0">
            <x v="0"/>
            <x v="1"/>
            <x v="2"/>
          </reference>
          <reference field="0" count="1" selected="0">
            <x v="1"/>
          </reference>
          <reference field="4" count="1" selected="0">
            <x v="8"/>
          </reference>
          <reference field="33" count="1" selected="0">
            <x v="1"/>
          </reference>
        </references>
      </pivotArea>
    </format>
    <format dxfId="1031">
      <pivotArea outline="0" fieldPosition="0">
        <references count="4">
          <reference field="4294967294" count="3" selected="0">
            <x v="0"/>
            <x v="1"/>
            <x v="2"/>
          </reference>
          <reference field="0" count="1" selected="0">
            <x v="1"/>
          </reference>
          <reference field="4" count="1" selected="0">
            <x v="9"/>
          </reference>
          <reference field="33" count="1" selected="0">
            <x v="1"/>
          </reference>
        </references>
      </pivotArea>
    </format>
    <format dxfId="1030">
      <pivotArea outline="0" fieldPosition="0">
        <references count="4">
          <reference field="4294967294" count="3" selected="0">
            <x v="3"/>
            <x v="4"/>
            <x v="5"/>
          </reference>
          <reference field="0" count="1" selected="0">
            <x v="1"/>
          </reference>
          <reference field="4" count="1" selected="0">
            <x v="8"/>
          </reference>
          <reference field="33" count="1" selected="0">
            <x v="1"/>
          </reference>
        </references>
      </pivotArea>
    </format>
    <format dxfId="1029">
      <pivotArea outline="0" fieldPosition="0">
        <references count="4">
          <reference field="4294967294" count="3" selected="0">
            <x v="6"/>
            <x v="7"/>
            <x v="8"/>
          </reference>
          <reference field="0" count="1" selected="0">
            <x v="1"/>
          </reference>
          <reference field="4" count="1" selected="0">
            <x v="9"/>
          </reference>
          <reference field="33" count="1" selected="0">
            <x v="1"/>
          </reference>
        </references>
      </pivotArea>
    </format>
    <format dxfId="1028">
      <pivotArea outline="0" fieldPosition="0">
        <references count="4">
          <reference field="4294967294" count="3" selected="0">
            <x v="18"/>
            <x v="19"/>
            <x v="20"/>
          </reference>
          <reference field="0" count="1" selected="0">
            <x v="1"/>
          </reference>
          <reference field="4" count="1" selected="0">
            <x v="4"/>
          </reference>
          <reference field="33" count="1" selected="0">
            <x v="0"/>
          </reference>
        </references>
      </pivotArea>
    </format>
    <format dxfId="1027">
      <pivotArea outline="0" fieldPosition="0">
        <references count="4">
          <reference field="4294967294" count="1" selected="0">
            <x v="18"/>
          </reference>
          <reference field="0" count="1" selected="0">
            <x v="1"/>
          </reference>
          <reference field="4" count="1" selected="0">
            <x v="3"/>
          </reference>
          <reference field="33" count="1" selected="0">
            <x v="0"/>
          </reference>
        </references>
      </pivotArea>
    </format>
    <format dxfId="1026">
      <pivotArea outline="0" fieldPosition="0">
        <references count="4">
          <reference field="4294967294" count="3" selected="0">
            <x v="24"/>
            <x v="25"/>
            <x v="26"/>
          </reference>
          <reference field="0" count="1" selected="0">
            <x v="1"/>
          </reference>
          <reference field="4" count="1" selected="0">
            <x v="0"/>
          </reference>
          <reference field="33" count="1" selected="0">
            <x v="0"/>
          </reference>
        </references>
      </pivotArea>
    </format>
    <format dxfId="1025">
      <pivotArea outline="0" fieldPosition="0">
        <references count="4">
          <reference field="4294967294" count="3" selected="0">
            <x v="27"/>
            <x v="28"/>
            <x v="29"/>
          </reference>
          <reference field="0" count="1" selected="0">
            <x v="1"/>
          </reference>
          <reference field="4" count="1" selected="0">
            <x v="0"/>
          </reference>
          <reference field="33" count="1" selected="0">
            <x v="0"/>
          </reference>
        </references>
      </pivotArea>
    </format>
    <format dxfId="1024">
      <pivotArea outline="0" fieldPosition="0">
        <references count="4">
          <reference field="4294967294" count="3" selected="0">
            <x v="24"/>
            <x v="25"/>
            <x v="26"/>
          </reference>
          <reference field="0" count="1" selected="0">
            <x v="1"/>
          </reference>
          <reference field="4" count="1" selected="0">
            <x v="5"/>
          </reference>
          <reference field="33" count="1" selected="0">
            <x v="0"/>
          </reference>
        </references>
      </pivotArea>
    </format>
    <format dxfId="1023">
      <pivotArea outline="0" fieldPosition="0">
        <references count="4">
          <reference field="4294967294" count="1" selected="0">
            <x v="24"/>
          </reference>
          <reference field="0" count="1" selected="0">
            <x v="1"/>
          </reference>
          <reference field="4" count="1" selected="0">
            <x v="3"/>
          </reference>
          <reference field="33" count="1" selected="0">
            <x v="0"/>
          </reference>
        </references>
      </pivotArea>
    </format>
    <format dxfId="1022">
      <pivotArea outline="0" fieldPosition="0">
        <references count="4">
          <reference field="4294967294" count="1" selected="0">
            <x v="24"/>
          </reference>
          <reference field="0" count="1" selected="0">
            <x v="1"/>
          </reference>
          <reference field="4" count="1" selected="0">
            <x v="4"/>
          </reference>
          <reference field="33" count="1" selected="0">
            <x v="0"/>
          </reference>
        </references>
      </pivotArea>
    </format>
    <format dxfId="1021">
      <pivotArea outline="0" fieldPosition="0">
        <references count="4">
          <reference field="4294967294" count="3" selected="0">
            <x v="18"/>
            <x v="19"/>
            <x v="20"/>
          </reference>
          <reference field="0" count="1" selected="0">
            <x v="1"/>
          </reference>
          <reference field="4" count="1" selected="0">
            <x v="0"/>
          </reference>
          <reference field="33" count="1" selected="0">
            <x v="0"/>
          </reference>
        </references>
      </pivotArea>
    </format>
    <format dxfId="1020">
      <pivotArea outline="0" fieldPosition="0">
        <references count="4">
          <reference field="4294967294" count="3" selected="0">
            <x v="21"/>
            <x v="22"/>
            <x v="23"/>
          </reference>
          <reference field="0" count="1" selected="0">
            <x v="1"/>
          </reference>
          <reference field="4" count="1" selected="0">
            <x v="0"/>
          </reference>
          <reference field="33" count="1" selected="0">
            <x v="0"/>
          </reference>
        </references>
      </pivotArea>
    </format>
    <format dxfId="1019">
      <pivotArea outline="0" fieldPosition="0">
        <references count="4">
          <reference field="4294967294" count="3" selected="0">
            <x v="18"/>
            <x v="19"/>
            <x v="20"/>
          </reference>
          <reference field="0" count="1" selected="0">
            <x v="1"/>
          </reference>
          <reference field="4" count="1" selected="0">
            <x v="2"/>
          </reference>
          <reference field="33" count="1" selected="0">
            <x v="0"/>
          </reference>
        </references>
      </pivotArea>
    </format>
    <format dxfId="1018">
      <pivotArea outline="0" fieldPosition="0">
        <references count="2">
          <reference field="4294967294" count="1" selected="0">
            <x v="26"/>
          </reference>
          <reference field="0" count="1" selected="0">
            <x v="15"/>
          </reference>
        </references>
      </pivotArea>
    </format>
    <format dxfId="1017">
      <pivotArea field="0" grandRow="1" outline="0" axis="axisRow" fieldPosition="0">
        <references count="1">
          <reference field="4294967294" count="1" selected="0">
            <x v="2"/>
          </reference>
        </references>
      </pivotArea>
    </format>
    <format dxfId="1016">
      <pivotArea field="0" grandRow="1" outline="0" axis="axisRow" fieldPosition="0">
        <references count="1">
          <reference field="4294967294" count="1" selected="0">
            <x v="5"/>
          </reference>
        </references>
      </pivotArea>
    </format>
    <format dxfId="1015">
      <pivotArea field="0" grandRow="1" outline="0" axis="axisRow" fieldPosition="0">
        <references count="1">
          <reference field="4294967294" count="1" selected="0">
            <x v="8"/>
          </reference>
        </references>
      </pivotArea>
    </format>
    <format dxfId="1014">
      <pivotArea field="0" grandRow="1" outline="0" axis="axisRow" fieldPosition="0">
        <references count="1">
          <reference field="4294967294" count="1" selected="0">
            <x v="11"/>
          </reference>
        </references>
      </pivotArea>
    </format>
    <format dxfId="1013">
      <pivotArea field="0" grandRow="1" outline="0" axis="axisRow" fieldPosition="0">
        <references count="1">
          <reference field="4294967294" count="1" selected="0">
            <x v="14"/>
          </reference>
        </references>
      </pivotArea>
    </format>
    <format dxfId="1012">
      <pivotArea field="0" grandRow="1" outline="0" axis="axisRow" fieldPosition="0">
        <references count="1">
          <reference field="4294967294" count="1" selected="0">
            <x v="17"/>
          </reference>
        </references>
      </pivotArea>
    </format>
    <format dxfId="1011">
      <pivotArea field="0" grandRow="1" outline="0" axis="axisRow" fieldPosition="0">
        <references count="1">
          <reference field="4294967294" count="1" selected="0">
            <x v="20"/>
          </reference>
        </references>
      </pivotArea>
    </format>
    <format dxfId="1010">
      <pivotArea field="0" grandRow="1" outline="0" axis="axisRow" fieldPosition="0">
        <references count="1">
          <reference field="4294967294" count="1" selected="0">
            <x v="23"/>
          </reference>
        </references>
      </pivotArea>
    </format>
    <format dxfId="1009">
      <pivotArea field="0" grandRow="1" outline="0" axis="axisRow" fieldPosition="0">
        <references count="1">
          <reference field="4294967294" count="1" selected="0">
            <x v="26"/>
          </reference>
        </references>
      </pivotArea>
    </format>
    <format dxfId="1008">
      <pivotArea field="0" grandRow="1" outline="0" axis="axisRow" fieldPosition="0">
        <references count="1">
          <reference field="4294967294" count="1" selected="0">
            <x v="29"/>
          </reference>
        </references>
      </pivotArea>
    </format>
    <format dxfId="1007">
      <pivotArea field="0" grandRow="1" outline="0" axis="axisRow" fieldPosition="0">
        <references count="1">
          <reference field="4294967294" count="1" selected="0">
            <x v="32"/>
          </reference>
        </references>
      </pivotArea>
    </format>
    <format dxfId="1006">
      <pivotArea field="0" grandRow="1" outline="0" axis="axisRow" fieldPosition="0">
        <references count="1">
          <reference field="4294967294" count="1" selected="0">
            <x v="35"/>
          </reference>
        </references>
      </pivotArea>
    </format>
    <format dxfId="1005">
      <pivotArea outline="0" fieldPosition="0">
        <references count="2">
          <reference field="4294967294" count="1" selected="0">
            <x v="26"/>
          </reference>
          <reference field="0" count="1" selected="0">
            <x v="1"/>
          </reference>
        </references>
      </pivotArea>
    </format>
    <format dxfId="1004">
      <pivotArea outline="0" fieldPosition="0">
        <references count="2">
          <reference field="4294967294" count="1" selected="0">
            <x v="29"/>
          </reference>
          <reference field="0" count="1" selected="0">
            <x v="1"/>
          </reference>
        </references>
      </pivotArea>
    </format>
    <format dxfId="1003">
      <pivotArea outline="0" fieldPosition="0">
        <references count="2">
          <reference field="4294967294" count="1" selected="0">
            <x v="32"/>
          </reference>
          <reference field="0" count="1" selected="0">
            <x v="1"/>
          </reference>
        </references>
      </pivotArea>
    </format>
    <format dxfId="1002">
      <pivotArea outline="0" fieldPosition="0">
        <references count="2">
          <reference field="4294967294" count="1" selected="0">
            <x v="35"/>
          </reference>
          <reference field="0" count="1" selected="0">
            <x v="1"/>
          </reference>
        </references>
      </pivotArea>
    </format>
    <format dxfId="1001">
      <pivotArea outline="0" fieldPosition="0">
        <references count="4">
          <reference field="4294967294" count="1" selected="0">
            <x v="5"/>
          </reference>
          <reference field="0" count="1" selected="0">
            <x v="0"/>
          </reference>
          <reference field="4" count="1" selected="0">
            <x v="9"/>
          </reference>
          <reference field="33" count="1" selected="0">
            <x v="1"/>
          </reference>
        </references>
      </pivotArea>
    </format>
    <format dxfId="1000">
      <pivotArea outline="0" fieldPosition="0">
        <references count="4">
          <reference field="4294967294" count="1" selected="0">
            <x v="8"/>
          </reference>
          <reference field="0" count="1" selected="0">
            <x v="0"/>
          </reference>
          <reference field="4" count="1" selected="0">
            <x v="9"/>
          </reference>
          <reference field="33" count="1" selected="0">
            <x v="1"/>
          </reference>
        </references>
      </pivotArea>
    </format>
    <format dxfId="999">
      <pivotArea dataOnly="0" outline="0" fieldPosition="0">
        <references count="1">
          <reference field="4294967294" count="1">
            <x v="2"/>
          </reference>
        </references>
      </pivotArea>
    </format>
    <format dxfId="998">
      <pivotArea outline="0" fieldPosition="0">
        <references count="4">
          <reference field="4294967294" count="3" selected="0">
            <x v="18"/>
            <x v="19"/>
            <x v="20"/>
          </reference>
          <reference field="0" count="1" selected="0">
            <x v="0"/>
          </reference>
          <reference field="4" count="1" selected="0">
            <x v="3"/>
          </reference>
          <reference field="33" count="1" selected="0">
            <x v="0"/>
          </reference>
        </references>
      </pivotArea>
    </format>
    <format dxfId="997">
      <pivotArea outline="0" fieldPosition="0">
        <references count="4">
          <reference field="4294967294" count="3" selected="0">
            <x v="24"/>
            <x v="25"/>
            <x v="26"/>
          </reference>
          <reference field="0" count="1" selected="0">
            <x v="0"/>
          </reference>
          <reference field="4" count="2" selected="0">
            <x v="3"/>
            <x v="4"/>
          </reference>
          <reference field="33" count="1" selected="0">
            <x v="0"/>
          </reference>
        </references>
      </pivotArea>
    </format>
    <format dxfId="996">
      <pivotArea outline="0" fieldPosition="0">
        <references count="3">
          <reference field="4294967294" count="1" selected="0">
            <x v="2"/>
          </reference>
          <reference field="0" count="1" selected="0">
            <x v="4"/>
          </reference>
          <reference field="33" count="1" selected="0" defaultSubtotal="1">
            <x v="2"/>
          </reference>
        </references>
      </pivotArea>
    </format>
    <format dxfId="995">
      <pivotArea outline="0" fieldPosition="0">
        <references count="4">
          <reference field="4294967294" count="3" selected="0">
            <x v="0"/>
            <x v="1"/>
            <x v="2"/>
          </reference>
          <reference field="0" count="1" selected="0">
            <x v="5"/>
          </reference>
          <reference field="4" count="1" selected="0">
            <x v="1"/>
          </reference>
          <reference field="33" count="1" selected="0">
            <x v="0"/>
          </reference>
        </references>
      </pivotArea>
    </format>
    <format dxfId="994">
      <pivotArea outline="0" fieldPosition="0">
        <references count="4">
          <reference field="4294967294" count="3" selected="0">
            <x v="6"/>
            <x v="7"/>
            <x v="8"/>
          </reference>
          <reference field="0" count="1" selected="0">
            <x v="5"/>
          </reference>
          <reference field="4" count="1" selected="0">
            <x v="1"/>
          </reference>
          <reference field="33" count="1" selected="0">
            <x v="0"/>
          </reference>
        </references>
      </pivotArea>
    </format>
    <format dxfId="993">
      <pivotArea outline="0" fieldPosition="0">
        <references count="4">
          <reference field="4294967294" count="3" selected="0">
            <x v="0"/>
            <x v="1"/>
            <x v="2"/>
          </reference>
          <reference field="0" count="1" selected="0">
            <x v="5"/>
          </reference>
          <reference field="4" count="1" selected="0">
            <x v="1"/>
          </reference>
          <reference field="33" count="1" selected="0">
            <x v="0"/>
          </reference>
        </references>
      </pivotArea>
    </format>
    <format dxfId="992">
      <pivotArea outline="0" fieldPosition="0">
        <references count="4">
          <reference field="4294967294" count="3" selected="0">
            <x v="6"/>
            <x v="7"/>
            <x v="8"/>
          </reference>
          <reference field="0" count="1" selected="0">
            <x v="5"/>
          </reference>
          <reference field="4" count="1" selected="0">
            <x v="1"/>
          </reference>
          <reference field="33" count="1" selected="0">
            <x v="0"/>
          </reference>
        </references>
      </pivotArea>
    </format>
    <format dxfId="991">
      <pivotArea outline="0" fieldPosition="0">
        <references count="4">
          <reference field="4294967294" count="3" selected="0">
            <x v="3"/>
            <x v="4"/>
            <x v="5"/>
          </reference>
          <reference field="0" count="1" selected="0">
            <x v="7"/>
          </reference>
          <reference field="4" count="1" selected="0">
            <x v="12"/>
          </reference>
          <reference field="33" count="1" selected="0">
            <x v="0"/>
          </reference>
        </references>
      </pivotArea>
    </format>
    <format dxfId="990">
      <pivotArea outline="0" fieldPosition="0">
        <references count="4">
          <reference field="4294967294" count="3" selected="0">
            <x v="6"/>
            <x v="7"/>
            <x v="8"/>
          </reference>
          <reference field="0" count="1" selected="0">
            <x v="7"/>
          </reference>
          <reference field="4" count="1" selected="0">
            <x v="12"/>
          </reference>
          <reference field="33" count="1" selected="0">
            <x v="0"/>
          </reference>
        </references>
      </pivotArea>
    </format>
    <format dxfId="989">
      <pivotArea outline="0" fieldPosition="0">
        <references count="4">
          <reference field="4294967294" count="1" selected="0">
            <x v="20"/>
          </reference>
          <reference field="0" count="1" selected="0">
            <x v="0"/>
          </reference>
          <reference field="4" count="2" selected="0">
            <x v="3"/>
            <x v="4"/>
          </reference>
          <reference field="33" count="1" selected="0">
            <x v="0"/>
          </reference>
        </references>
      </pivotArea>
    </format>
    <format dxfId="988">
      <pivotArea outline="0" fieldPosition="0">
        <references count="4">
          <reference field="4294967294" count="1" selected="0">
            <x v="26"/>
          </reference>
          <reference field="0" count="1" selected="0">
            <x v="0"/>
          </reference>
          <reference field="4" count="2" selected="0">
            <x v="3"/>
            <x v="4"/>
          </reference>
          <reference field="33" count="1" selected="0">
            <x v="0"/>
          </reference>
        </references>
      </pivotArea>
    </format>
    <format dxfId="987">
      <pivotArea outline="0" fieldPosition="0">
        <references count="4">
          <reference field="4294967294" count="2" selected="0">
            <x v="18"/>
            <x v="19"/>
          </reference>
          <reference field="0" count="1" selected="0">
            <x v="0"/>
          </reference>
          <reference field="4" count="2" selected="0">
            <x v="3"/>
            <x v="4"/>
          </reference>
          <reference field="33" count="1" selected="0">
            <x v="0"/>
          </reference>
        </references>
      </pivotArea>
    </format>
    <format dxfId="986">
      <pivotArea outline="0" fieldPosition="0">
        <references count="4">
          <reference field="4294967294" count="2" selected="0">
            <x v="24"/>
            <x v="25"/>
          </reference>
          <reference field="0" count="1" selected="0">
            <x v="0"/>
          </reference>
          <reference field="4" count="2" selected="0">
            <x v="3"/>
            <x v="4"/>
          </reference>
          <reference field="33" count="1" selected="0">
            <x v="0"/>
          </reference>
        </references>
      </pivotArea>
    </format>
    <format dxfId="985">
      <pivotArea outline="0" fieldPosition="0">
        <references count="2">
          <reference field="4294967294" count="12" selected="0">
            <x v="0"/>
            <x v="1"/>
            <x v="2"/>
            <x v="3"/>
            <x v="4"/>
            <x v="5"/>
            <x v="6"/>
            <x v="7"/>
            <x v="8"/>
            <x v="9"/>
            <x v="10"/>
            <x v="11"/>
          </reference>
          <reference field="0" count="1" selected="0">
            <x v="0"/>
          </reference>
        </references>
      </pivotArea>
    </format>
    <format dxfId="984">
      <pivotArea outline="0" fieldPosition="0">
        <references count="2">
          <reference field="4294967294" count="24" selected="0">
            <x v="12"/>
            <x v="13"/>
            <x v="14"/>
            <x v="15"/>
            <x v="16"/>
            <x v="17"/>
            <x v="18"/>
            <x v="19"/>
            <x v="20"/>
            <x v="21"/>
            <x v="22"/>
            <x v="23"/>
            <x v="24"/>
            <x v="25"/>
            <x v="26"/>
            <x v="27"/>
            <x v="28"/>
            <x v="29"/>
            <x v="30"/>
            <x v="31"/>
            <x v="32"/>
            <x v="33"/>
            <x v="34"/>
            <x v="35"/>
          </reference>
          <reference field="0" count="1" selected="0">
            <x v="0"/>
          </reference>
        </references>
      </pivotArea>
    </format>
    <format dxfId="983">
      <pivotArea outline="0" fieldPosition="0">
        <references count="2">
          <reference field="4294967294" count="26" selected="0">
            <x v="0"/>
            <x v="1"/>
            <x v="2"/>
            <x v="3"/>
            <x v="4"/>
            <x v="5"/>
            <x v="6"/>
            <x v="7"/>
            <x v="8"/>
            <x v="9"/>
            <x v="10"/>
            <x v="11"/>
            <x v="12"/>
            <x v="13"/>
            <x v="14"/>
            <x v="15"/>
            <x v="16"/>
            <x v="17"/>
            <x v="18"/>
            <x v="19"/>
            <x v="20"/>
            <x v="21"/>
            <x v="22"/>
            <x v="23"/>
            <x v="24"/>
            <x v="25"/>
          </reference>
          <reference field="0" count="1" selected="0">
            <x v="1"/>
          </reference>
        </references>
      </pivotArea>
    </format>
    <format dxfId="982">
      <pivotArea outline="0" fieldPosition="0">
        <references count="4">
          <reference field="4294967294" count="1" selected="0">
            <x v="2"/>
          </reference>
          <reference field="0" count="1" selected="0">
            <x v="0"/>
          </reference>
          <reference field="4" count="5" selected="0">
            <x v="2"/>
            <x v="3"/>
            <x v="4"/>
            <x v="5"/>
            <x v="12"/>
          </reference>
          <reference field="33" count="1" selected="0">
            <x v="0"/>
          </reference>
        </references>
      </pivotArea>
    </format>
    <format dxfId="981">
      <pivotArea outline="0" fieldPosition="0">
        <references count="3">
          <reference field="4294967294" count="1" selected="0">
            <x v="2"/>
          </reference>
          <reference field="0" count="1" selected="0">
            <x v="0"/>
          </reference>
          <reference field="33" count="1" selected="0" defaultSubtotal="1">
            <x v="0"/>
          </reference>
        </references>
      </pivotArea>
    </format>
    <format dxfId="980">
      <pivotArea outline="0" fieldPosition="0">
        <references count="3">
          <reference field="4294967294" count="1" selected="0">
            <x v="2"/>
          </reference>
          <reference field="0" count="1" selected="0">
            <x v="0"/>
          </reference>
          <reference field="33" count="2" selected="0" defaultSubtotal="1">
            <x v="1"/>
            <x v="2"/>
          </reference>
        </references>
      </pivotArea>
    </format>
    <format dxfId="979">
      <pivotArea outline="0" fieldPosition="0">
        <references count="4">
          <reference field="4294967294" count="1" selected="0">
            <x v="2"/>
          </reference>
          <reference field="0" count="1" selected="0">
            <x v="0"/>
          </reference>
          <reference field="4" count="3" selected="0">
            <x v="7"/>
            <x v="8"/>
            <x v="9"/>
          </reference>
          <reference field="33" count="1" selected="0">
            <x v="1"/>
          </reference>
        </references>
      </pivotArea>
    </format>
    <format dxfId="978">
      <pivotArea outline="0" fieldPosition="0">
        <references count="4">
          <reference field="4294967294" count="1" selected="0">
            <x v="2"/>
          </reference>
          <reference field="0" count="1" selected="0">
            <x v="0"/>
          </reference>
          <reference field="4" count="2" selected="0">
            <x v="11"/>
            <x v="14"/>
          </reference>
          <reference field="33" count="1" selected="0">
            <x v="2"/>
          </reference>
        </references>
      </pivotArea>
    </format>
    <format dxfId="977">
      <pivotArea field="33" grandRow="1" outline="0" axis="axisCol" fieldPosition="0">
        <references count="3">
          <reference field="4294967294" count="1" selected="0">
            <x v="26"/>
          </reference>
          <reference field="4" count="1" selected="0">
            <x v="1"/>
          </reference>
          <reference field="33" count="1" selected="0">
            <x v="0"/>
          </reference>
        </references>
      </pivotArea>
    </format>
    <format dxfId="976">
      <pivotArea outline="0" fieldPosition="0">
        <references count="2">
          <reference field="4" count="6" selected="0">
            <x v="1"/>
            <x v="2"/>
            <x v="3"/>
            <x v="4"/>
            <x v="5"/>
            <x v="12"/>
          </reference>
          <reference field="33" count="1" selected="0">
            <x v="0"/>
          </reference>
        </references>
      </pivotArea>
    </format>
    <format dxfId="975">
      <pivotArea field="4" type="button" dataOnly="0" labelOnly="1" outline="0" axis="axisCol" fieldPosition="1"/>
    </format>
    <format dxfId="974">
      <pivotArea type="topRight" dataOnly="0" labelOnly="1" outline="0" fieldPosition="0"/>
    </format>
    <format dxfId="973">
      <pivotArea dataOnly="0" labelOnly="1" outline="0" offset="B256:IV256" fieldPosition="0">
        <references count="1">
          <reference field="33" count="1">
            <x v="0"/>
          </reference>
        </references>
      </pivotArea>
    </format>
    <format dxfId="972">
      <pivotArea dataOnly="0" labelOnly="1" outline="0" fieldPosition="0">
        <references count="2">
          <reference field="4" count="6">
            <x v="1"/>
            <x v="2"/>
            <x v="3"/>
            <x v="4"/>
            <x v="5"/>
            <x v="12"/>
          </reference>
          <reference field="33" count="1" selected="0">
            <x v="0"/>
          </reference>
        </references>
      </pivotArea>
    </format>
    <format dxfId="971">
      <pivotArea outline="0" fieldPosition="0">
        <references count="1">
          <reference field="33" count="1" selected="0" defaultSubtotal="1">
            <x v="0"/>
          </reference>
        </references>
      </pivotArea>
    </format>
    <format dxfId="970">
      <pivotArea dataOnly="0" labelOnly="1" outline="0" fieldPosition="0">
        <references count="1">
          <reference field="33" count="1" defaultSubtotal="1">
            <x v="0"/>
          </reference>
        </references>
      </pivotArea>
    </format>
    <format dxfId="969">
      <pivotArea outline="0" fieldPosition="0">
        <references count="4">
          <reference field="4294967294" count="3" selected="0">
            <x v="18"/>
            <x v="19"/>
            <x v="20"/>
          </reference>
          <reference field="0" count="1" selected="0">
            <x v="0"/>
          </reference>
          <reference field="4" count="1" selected="0">
            <x v="4"/>
          </reference>
          <reference field="33" count="1" selected="0">
            <x v="0"/>
          </reference>
        </references>
      </pivotArea>
    </format>
    <format dxfId="968">
      <pivotArea outline="0" fieldPosition="0">
        <references count="4">
          <reference field="4294967294" count="3" selected="0">
            <x v="24"/>
            <x v="25"/>
            <x v="26"/>
          </reference>
          <reference field="0" count="1" selected="0">
            <x v="0"/>
          </reference>
          <reference field="4" count="1" selected="0">
            <x v="4"/>
          </reference>
          <reference field="33" count="1" selected="0">
            <x v="0"/>
          </reference>
        </references>
      </pivotArea>
    </format>
    <format dxfId="967">
      <pivotArea outline="0" fieldPosition="0">
        <references count="3">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33" count="2" selected="0" defaultSubtotal="1">
            <x v="0"/>
            <x v="1"/>
          </reference>
        </references>
      </pivotArea>
    </format>
    <format dxfId="966">
      <pivotArea outline="0" fieldPosition="0">
        <references count="4">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4" count="2" selected="0">
            <x v="10"/>
            <x v="11"/>
          </reference>
          <reference field="33" count="1" selected="0">
            <x v="2"/>
          </reference>
        </references>
      </pivotArea>
    </format>
    <format dxfId="965">
      <pivotArea outline="0" fieldPosition="0">
        <references count="2">
          <reference field="4294967294" count="1" selected="0">
            <x v="5"/>
          </reference>
          <reference field="0" count="1" selected="0">
            <x v="0"/>
          </reference>
        </references>
      </pivotArea>
    </format>
    <format dxfId="964">
      <pivotArea outline="0" fieldPosition="0">
        <references count="2">
          <reference field="4294967294" count="1" selected="0">
            <x v="8"/>
          </reference>
          <reference field="0" count="1" selected="0">
            <x v="0"/>
          </reference>
        </references>
      </pivotArea>
    </format>
    <format dxfId="963">
      <pivotArea outline="0" fieldPosition="0">
        <references count="2">
          <reference field="4294967294" count="1" selected="0">
            <x v="11"/>
          </reference>
          <reference field="0" count="1" selected="0">
            <x v="0"/>
          </reference>
        </references>
      </pivotArea>
    </format>
    <format dxfId="962">
      <pivotArea outline="0" fieldPosition="0">
        <references count="2">
          <reference field="4294967294" count="1" selected="0">
            <x v="14"/>
          </reference>
          <reference field="0" count="1" selected="0">
            <x v="0"/>
          </reference>
        </references>
      </pivotArea>
    </format>
    <format dxfId="961">
      <pivotArea outline="0" fieldPosition="0">
        <references count="2">
          <reference field="4294967294" count="1" selected="0">
            <x v="17"/>
          </reference>
          <reference field="0" count="1" selected="0">
            <x v="0"/>
          </reference>
        </references>
      </pivotArea>
    </format>
    <format dxfId="960">
      <pivotArea outline="0" fieldPosition="0">
        <references count="2">
          <reference field="4294967294" count="1" selected="0">
            <x v="20"/>
          </reference>
          <reference field="0" count="1" selected="0">
            <x v="0"/>
          </reference>
        </references>
      </pivotArea>
    </format>
    <format dxfId="959">
      <pivotArea outline="0" fieldPosition="0">
        <references count="2">
          <reference field="4294967294" count="1" selected="0">
            <x v="23"/>
          </reference>
          <reference field="0" count="1" selected="0">
            <x v="0"/>
          </reference>
        </references>
      </pivotArea>
    </format>
    <format dxfId="958">
      <pivotArea outline="0" fieldPosition="0">
        <references count="2">
          <reference field="4294967294" count="1" selected="0">
            <x v="26"/>
          </reference>
          <reference field="0" count="1" selected="0">
            <x v="0"/>
          </reference>
        </references>
      </pivotArea>
    </format>
    <format dxfId="957">
      <pivotArea outline="0" fieldPosition="0">
        <references count="2">
          <reference field="4294967294" count="1" selected="0">
            <x v="29"/>
          </reference>
          <reference field="0" count="1" selected="0">
            <x v="0"/>
          </reference>
        </references>
      </pivotArea>
    </format>
    <format dxfId="956">
      <pivotArea outline="0" fieldPosition="0">
        <references count="2">
          <reference field="4294967294" count="1" selected="0">
            <x v="32"/>
          </reference>
          <reference field="0" count="1" selected="0">
            <x v="0"/>
          </reference>
        </references>
      </pivotArea>
    </format>
    <format dxfId="955">
      <pivotArea outline="0" fieldPosition="0">
        <references count="2">
          <reference field="4294967294" count="1" selected="0">
            <x v="35"/>
          </reference>
          <reference field="0" count="1" selected="0">
            <x v="0"/>
          </reference>
        </references>
      </pivotArea>
    </format>
    <format dxfId="954">
      <pivotArea outline="0" fieldPosition="0">
        <references count="4">
          <reference field="4294967294" count="2" selected="0">
            <x v="6"/>
            <x v="7"/>
          </reference>
          <reference field="0" count="1" selected="0">
            <x v="8"/>
          </reference>
          <reference field="4" count="3" selected="0">
            <x v="7"/>
            <x v="8"/>
            <x v="9"/>
          </reference>
          <reference field="33" count="1" selected="0">
            <x v="1"/>
          </reference>
        </references>
      </pivotArea>
    </format>
    <format dxfId="953">
      <pivotArea outline="0" fieldPosition="0">
        <references count="3">
          <reference field="4294967294" count="2" selected="0">
            <x v="6"/>
            <x v="7"/>
          </reference>
          <reference field="0" count="1" selected="0">
            <x v="8"/>
          </reference>
          <reference field="33" count="1" selected="0" defaultSubtotal="1">
            <x v="1"/>
          </reference>
        </references>
      </pivotArea>
    </format>
    <format dxfId="952">
      <pivotArea outline="0" fieldPosition="0">
        <references count="4">
          <reference field="4294967294" count="3" selected="0">
            <x v="0"/>
            <x v="1"/>
            <x v="2"/>
          </reference>
          <reference field="0" count="1" selected="0">
            <x v="0"/>
          </reference>
          <reference field="4" count="1" selected="0">
            <x v="7"/>
          </reference>
          <reference field="33" count="1" selected="0">
            <x v="1"/>
          </reference>
        </references>
      </pivotArea>
    </format>
    <format dxfId="951">
      <pivotArea outline="0" fieldPosition="0">
        <references count="4">
          <reference field="4294967294" count="3" selected="0">
            <x v="6"/>
            <x v="7"/>
            <x v="8"/>
          </reference>
          <reference field="0" count="1" selected="0">
            <x v="0"/>
          </reference>
          <reference field="4" count="1" selected="0">
            <x v="5"/>
          </reference>
          <reference field="33" count="1" selected="0">
            <x v="0"/>
          </reference>
        </references>
      </pivotArea>
    </format>
    <format dxfId="950">
      <pivotArea outline="0" fieldPosition="0">
        <references count="4">
          <reference field="4294967294" count="1" selected="0">
            <x v="8"/>
          </reference>
          <reference field="0" count="1" selected="0">
            <x v="8"/>
          </reference>
          <reference field="4" count="3" selected="0">
            <x v="7"/>
            <x v="8"/>
            <x v="9"/>
          </reference>
          <reference field="33" count="1" selected="0">
            <x v="1"/>
          </reference>
        </references>
      </pivotArea>
    </format>
    <format dxfId="949">
      <pivotArea outline="0" fieldPosition="0">
        <references count="3">
          <reference field="4294967294" count="1" selected="0">
            <x v="8"/>
          </reference>
          <reference field="0" count="1" selected="0">
            <x v="8"/>
          </reference>
          <reference field="33" count="1" selected="0" defaultSubtotal="1">
            <x v="1"/>
          </reference>
        </references>
      </pivotArea>
    </format>
    <format dxfId="948">
      <pivotArea outline="0" fieldPosition="0">
        <references count="4">
          <reference field="4294967294" count="1" selected="0">
            <x v="1"/>
          </reference>
          <reference field="0" count="1" selected="0">
            <x v="8"/>
          </reference>
          <reference field="4" count="3" selected="0">
            <x v="7"/>
            <x v="8"/>
            <x v="9"/>
          </reference>
          <reference field="33" count="1" selected="0">
            <x v="1"/>
          </reference>
        </references>
      </pivotArea>
    </format>
    <format dxfId="947">
      <pivotArea outline="0" fieldPosition="0">
        <references count="3">
          <reference field="4294967294" count="1" selected="0">
            <x v="1"/>
          </reference>
          <reference field="0" count="1" selected="0">
            <x v="8"/>
          </reference>
          <reference field="33" count="1" selected="0" defaultSubtotal="1">
            <x v="1"/>
          </reference>
        </references>
      </pivotArea>
    </format>
    <format dxfId="946">
      <pivotArea outline="0" fieldPosition="0">
        <references count="4">
          <reference field="4294967294" count="1" selected="0">
            <x v="7"/>
          </reference>
          <reference field="0" count="1" selected="0">
            <x v="8"/>
          </reference>
          <reference field="4" count="3" selected="0">
            <x v="7"/>
            <x v="8"/>
            <x v="9"/>
          </reference>
          <reference field="33" count="1" selected="0">
            <x v="1"/>
          </reference>
        </references>
      </pivotArea>
    </format>
    <format dxfId="945">
      <pivotArea outline="0" fieldPosition="0">
        <references count="3">
          <reference field="4294967294" count="1" selected="0">
            <x v="7"/>
          </reference>
          <reference field="0" count="1" selected="0">
            <x v="8"/>
          </reference>
          <reference field="33" count="1" selected="0" defaultSubtotal="1">
            <x v="1"/>
          </reference>
        </references>
      </pivotArea>
    </format>
    <format dxfId="944">
      <pivotArea outline="0" fieldPosition="0">
        <references count="4">
          <reference field="4294967294" count="1" selected="0">
            <x v="5"/>
          </reference>
          <reference field="0" count="1" selected="0">
            <x v="0"/>
          </reference>
          <reference field="4" count="1" selected="0">
            <x v="0"/>
          </reference>
          <reference field="33" count="1" selected="0">
            <x v="0"/>
          </reference>
        </references>
      </pivotArea>
    </format>
    <format dxfId="943">
      <pivotArea outline="0" fieldPosition="0">
        <references count="4">
          <reference field="4294967294" count="1" selected="0">
            <x v="8"/>
          </reference>
          <reference field="0" count="1" selected="0">
            <x v="0"/>
          </reference>
          <reference field="4" count="1" selected="0">
            <x v="0"/>
          </reference>
          <reference field="33" count="1" selected="0">
            <x v="0"/>
          </reference>
        </references>
      </pivotArea>
    </format>
    <format dxfId="942">
      <pivotArea outline="0" fieldPosition="0">
        <references count="4">
          <reference field="4294967294" count="1" selected="0">
            <x v="11"/>
          </reference>
          <reference field="0" count="1" selected="0">
            <x v="0"/>
          </reference>
          <reference field="4" count="1" selected="0">
            <x v="0"/>
          </reference>
          <reference field="33" count="1" selected="0">
            <x v="0"/>
          </reference>
        </references>
      </pivotArea>
    </format>
    <format dxfId="941">
      <pivotArea outline="0" fieldPosition="0">
        <references count="4">
          <reference field="4294967294" count="1" selected="0">
            <x v="14"/>
          </reference>
          <reference field="0" count="1" selected="0">
            <x v="0"/>
          </reference>
          <reference field="4" count="1" selected="0">
            <x v="0"/>
          </reference>
          <reference field="33" count="1" selected="0">
            <x v="0"/>
          </reference>
        </references>
      </pivotArea>
    </format>
    <format dxfId="940">
      <pivotArea outline="0" fieldPosition="0">
        <references count="4">
          <reference field="4294967294" count="1" selected="0">
            <x v="17"/>
          </reference>
          <reference field="0" count="1" selected="0">
            <x v="0"/>
          </reference>
          <reference field="4" count="1" selected="0">
            <x v="0"/>
          </reference>
          <reference field="33" count="1" selected="0">
            <x v="0"/>
          </reference>
        </references>
      </pivotArea>
    </format>
    <format dxfId="939">
      <pivotArea outline="0" fieldPosition="0">
        <references count="4">
          <reference field="4294967294" count="1" selected="0">
            <x v="20"/>
          </reference>
          <reference field="0" count="1" selected="0">
            <x v="0"/>
          </reference>
          <reference field="4" count="1" selected="0">
            <x v="0"/>
          </reference>
          <reference field="33" count="1" selected="0">
            <x v="0"/>
          </reference>
        </references>
      </pivotArea>
    </format>
    <format dxfId="938">
      <pivotArea outline="0" fieldPosition="0">
        <references count="4">
          <reference field="4294967294" count="1" selected="0">
            <x v="23"/>
          </reference>
          <reference field="0" count="1" selected="0">
            <x v="0"/>
          </reference>
          <reference field="4" count="1" selected="0">
            <x v="0"/>
          </reference>
          <reference field="33" count="1" selected="0">
            <x v="0"/>
          </reference>
        </references>
      </pivotArea>
    </format>
    <format dxfId="937">
      <pivotArea outline="0" fieldPosition="0">
        <references count="4">
          <reference field="4294967294" count="1" selected="0">
            <x v="26"/>
          </reference>
          <reference field="0" count="1" selected="0">
            <x v="0"/>
          </reference>
          <reference field="4" count="1" selected="0">
            <x v="0"/>
          </reference>
          <reference field="33" count="1" selected="0">
            <x v="0"/>
          </reference>
        </references>
      </pivotArea>
    </format>
    <format dxfId="936">
      <pivotArea outline="0" fieldPosition="0">
        <references count="4">
          <reference field="4294967294" count="1" selected="0">
            <x v="29"/>
          </reference>
          <reference field="0" count="1" selected="0">
            <x v="0"/>
          </reference>
          <reference field="4" count="1" selected="0">
            <x v="0"/>
          </reference>
          <reference field="33" count="1" selected="0">
            <x v="0"/>
          </reference>
        </references>
      </pivotArea>
    </format>
    <format dxfId="935">
      <pivotArea outline="0" fieldPosition="0">
        <references count="4">
          <reference field="4294967294" count="1" selected="0">
            <x v="32"/>
          </reference>
          <reference field="0" count="1" selected="0">
            <x v="0"/>
          </reference>
          <reference field="4" count="1" selected="0">
            <x v="0"/>
          </reference>
          <reference field="33" count="1" selected="0">
            <x v="0"/>
          </reference>
        </references>
      </pivotArea>
    </format>
    <format dxfId="934">
      <pivotArea outline="0" fieldPosition="0">
        <references count="4">
          <reference field="4294967294" count="1" selected="0">
            <x v="35"/>
          </reference>
          <reference field="0" count="1" selected="0">
            <x v="0"/>
          </reference>
          <reference field="4" count="1" selected="0">
            <x v="0"/>
          </reference>
          <reference field="33" count="1" selected="0">
            <x v="0"/>
          </reference>
        </references>
      </pivotArea>
    </format>
    <format dxfId="933">
      <pivotArea outline="0" fieldPosition="0">
        <references count="4">
          <reference field="4294967294" count="1" selected="0">
            <x v="0"/>
          </reference>
          <reference field="0" count="1" selected="0">
            <x v="1"/>
          </reference>
          <reference field="4" count="1" selected="0">
            <x v="0"/>
          </reference>
          <reference field="33" count="1" selected="0">
            <x v="0"/>
          </reference>
        </references>
      </pivotArea>
    </format>
    <format dxfId="932">
      <pivotArea outline="0" fieldPosition="0">
        <references count="4">
          <reference field="4294967294" count="1" selected="0">
            <x v="0"/>
          </reference>
          <reference field="0" count="1" selected="0">
            <x v="3"/>
          </reference>
          <reference field="4" count="1" selected="0">
            <x v="0"/>
          </reference>
          <reference field="33" count="1" selected="0">
            <x v="0"/>
          </reference>
        </references>
      </pivotArea>
    </format>
    <format dxfId="931">
      <pivotArea outline="0" fieldPosition="0">
        <references count="4">
          <reference field="4294967294" count="1" selected="0">
            <x v="0"/>
          </reference>
          <reference field="0" count="1" selected="0">
            <x v="4"/>
          </reference>
          <reference field="4" count="1" selected="0">
            <x v="0"/>
          </reference>
          <reference field="33" count="1" selected="0">
            <x v="0"/>
          </reference>
        </references>
      </pivotArea>
    </format>
    <format dxfId="930">
      <pivotArea outline="0" fieldPosition="0">
        <references count="4">
          <reference field="4294967294" count="1" selected="0">
            <x v="0"/>
          </reference>
          <reference field="0" count="1" selected="0">
            <x v="5"/>
          </reference>
          <reference field="4" count="1" selected="0">
            <x v="0"/>
          </reference>
          <reference field="33" count="1" selected="0">
            <x v="0"/>
          </reference>
        </references>
      </pivotArea>
    </format>
    <format dxfId="929">
      <pivotArea outline="0" fieldPosition="0">
        <references count="4">
          <reference field="4294967294" count="1" selected="0">
            <x v="0"/>
          </reference>
          <reference field="0" count="1" selected="0">
            <x v="7"/>
          </reference>
          <reference field="4" count="1" selected="0">
            <x v="0"/>
          </reference>
          <reference field="33" count="1" selected="0">
            <x v="0"/>
          </reference>
        </references>
      </pivotArea>
    </format>
    <format dxfId="928">
      <pivotArea outline="0" fieldPosition="0">
        <references count="4">
          <reference field="4294967294" count="1" selected="0">
            <x v="0"/>
          </reference>
          <reference field="0" count="1" selected="0">
            <x v="8"/>
          </reference>
          <reference field="4" count="1" selected="0">
            <x v="0"/>
          </reference>
          <reference field="33" count="1" selected="0">
            <x v="0"/>
          </reference>
        </references>
      </pivotArea>
    </format>
    <format dxfId="927">
      <pivotArea outline="0" fieldPosition="0">
        <references count="4">
          <reference field="4294967294" count="1" selected="0">
            <x v="0"/>
          </reference>
          <reference field="0" count="1" selected="0">
            <x v="9"/>
          </reference>
          <reference field="4" count="1" selected="0">
            <x v="0"/>
          </reference>
          <reference field="33" count="1" selected="0">
            <x v="0"/>
          </reference>
        </references>
      </pivotArea>
    </format>
    <format dxfId="926">
      <pivotArea outline="0" fieldPosition="0">
        <references count="4">
          <reference field="4294967294" count="1" selected="0">
            <x v="0"/>
          </reference>
          <reference field="0" count="1" selected="0">
            <x v="10"/>
          </reference>
          <reference field="4" count="1" selected="0">
            <x v="0"/>
          </reference>
          <reference field="33" count="1" selected="0">
            <x v="0"/>
          </reference>
        </references>
      </pivotArea>
    </format>
    <format dxfId="925">
      <pivotArea outline="0" fieldPosition="0">
        <references count="4">
          <reference field="4294967294" count="1" selected="0">
            <x v="0"/>
          </reference>
          <reference field="0" count="1" selected="0">
            <x v="11"/>
          </reference>
          <reference field="4" count="1" selected="0">
            <x v="0"/>
          </reference>
          <reference field="33" count="1" selected="0">
            <x v="0"/>
          </reference>
        </references>
      </pivotArea>
    </format>
    <format dxfId="924">
      <pivotArea outline="0" fieldPosition="0">
        <references count="4">
          <reference field="4294967294" count="1" selected="0">
            <x v="0"/>
          </reference>
          <reference field="0" count="1" selected="0">
            <x v="12"/>
          </reference>
          <reference field="4" count="1" selected="0">
            <x v="0"/>
          </reference>
          <reference field="33" count="1" selected="0">
            <x v="0"/>
          </reference>
        </references>
      </pivotArea>
    </format>
    <format dxfId="923">
      <pivotArea outline="0" fieldPosition="0">
        <references count="4">
          <reference field="4294967294" count="1" selected="0">
            <x v="0"/>
          </reference>
          <reference field="0" count="1" selected="0">
            <x v="13"/>
          </reference>
          <reference field="4" count="1" selected="0">
            <x v="0"/>
          </reference>
          <reference field="33" count="1" selected="0">
            <x v="0"/>
          </reference>
        </references>
      </pivotArea>
    </format>
    <format dxfId="922">
      <pivotArea outline="0" fieldPosition="0">
        <references count="4">
          <reference field="4294967294" count="1" selected="0">
            <x v="0"/>
          </reference>
          <reference field="0" count="1" selected="0">
            <x v="15"/>
          </reference>
          <reference field="4" count="1" selected="0">
            <x v="0"/>
          </reference>
          <reference field="33" count="1" selected="0">
            <x v="0"/>
          </reference>
        </references>
      </pivotArea>
    </format>
    <format dxfId="921">
      <pivotArea outline="0" fieldPosition="0">
        <references count="4">
          <reference field="4294967294" count="1" selected="0">
            <x v="25"/>
          </reference>
          <reference field="0" count="1" selected="0">
            <x v="7"/>
          </reference>
          <reference field="4" count="1" selected="0">
            <x v="12"/>
          </reference>
          <reference field="33" count="1" selected="0">
            <x v="0"/>
          </reference>
        </references>
      </pivotArea>
    </format>
    <format dxfId="920">
      <pivotArea outline="0" fieldPosition="0">
        <references count="4">
          <reference field="4294967294" count="1" selected="0">
            <x v="25"/>
          </reference>
          <reference field="0" count="1" selected="0">
            <x v="11"/>
          </reference>
          <reference field="4" count="1" selected="0">
            <x v="6"/>
          </reference>
          <reference field="33" count="1" selected="0">
            <x v="1"/>
          </reference>
        </references>
      </pivotArea>
    </format>
    <format dxfId="919">
      <pivotArea outline="0" fieldPosition="0">
        <references count="4">
          <reference field="4294967294" count="1" selected="0">
            <x v="25"/>
          </reference>
          <reference field="0" count="1" selected="0">
            <x v="15"/>
          </reference>
          <reference field="4" count="1" selected="0">
            <x v="8"/>
          </reference>
          <reference field="33" count="1" selected="0">
            <x v="1"/>
          </reference>
        </references>
      </pivotArea>
    </format>
    <format dxfId="918">
      <pivotArea outline="0" fieldPosition="0">
        <references count="2">
          <reference field="4294967294" count="36" selected="0">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917">
      <pivotArea outline="0" fieldPosition="0">
        <references count="4">
          <reference field="4294967294" count="2" selected="0">
            <x v="6"/>
            <x v="7"/>
          </reference>
          <reference field="0" count="1" selected="0">
            <x v="0"/>
          </reference>
          <reference field="4" count="1" selected="0">
            <x v="5"/>
          </reference>
          <reference field="33" count="1" selected="0">
            <x v="0"/>
          </reference>
        </references>
      </pivotArea>
    </format>
    <format dxfId="916">
      <pivotArea outline="0" fieldPosition="0">
        <references count="4">
          <reference field="4294967294" count="2" selected="0">
            <x v="6"/>
            <x v="7"/>
          </reference>
          <reference field="0" count="1" selected="0">
            <x v="0"/>
          </reference>
          <reference field="4" count="1" selected="0">
            <x v="9"/>
          </reference>
          <reference field="33" count="1" selected="0">
            <x v="1"/>
          </reference>
        </references>
      </pivotArea>
    </format>
    <format dxfId="915">
      <pivotArea outline="0" fieldPosition="0">
        <references count="4">
          <reference field="4294967294" count="2" selected="0">
            <x v="18"/>
            <x v="19"/>
          </reference>
          <reference field="0" count="1" selected="0">
            <x v="0"/>
          </reference>
          <reference field="4" count="2" selected="0">
            <x v="3"/>
            <x v="4"/>
          </reference>
          <reference field="33" count="1" selected="0">
            <x v="0"/>
          </reference>
        </references>
      </pivotArea>
    </format>
    <format dxfId="914">
      <pivotArea outline="0" fieldPosition="0">
        <references count="4">
          <reference field="4294967294" count="2" selected="0">
            <x v="24"/>
            <x v="25"/>
          </reference>
          <reference field="0" count="1" selected="0">
            <x v="0"/>
          </reference>
          <reference field="4" count="5" selected="0">
            <x v="0"/>
            <x v="1"/>
            <x v="2"/>
            <x v="3"/>
            <x v="4"/>
          </reference>
          <reference field="33" count="1" selected="0">
            <x v="0"/>
          </reference>
        </references>
      </pivotArea>
    </format>
    <format dxfId="913">
      <pivotArea outline="0" fieldPosition="0">
        <references count="4">
          <reference field="4294967294" count="1" selected="0">
            <x v="0"/>
          </reference>
          <reference field="0" count="1" selected="0">
            <x v="3"/>
          </reference>
          <reference field="4" count="1" selected="0">
            <x v="0"/>
          </reference>
          <reference field="33" count="1" selected="0">
            <x v="0"/>
          </reference>
        </references>
      </pivotArea>
    </format>
    <format dxfId="912">
      <pivotArea outline="0" fieldPosition="0">
        <references count="4">
          <reference field="4294967294" count="1" selected="0">
            <x v="0"/>
          </reference>
          <reference field="0" count="1" selected="0">
            <x v="4"/>
          </reference>
          <reference field="4" count="1" selected="0">
            <x v="0"/>
          </reference>
          <reference field="33" count="1" selected="0">
            <x v="0"/>
          </reference>
        </references>
      </pivotArea>
    </format>
    <format dxfId="911">
      <pivotArea outline="0" fieldPosition="0">
        <references count="2">
          <reference field="4294967294" count="2" selected="0">
            <x v="0"/>
            <x v="1"/>
          </reference>
          <reference field="0" count="1" selected="0">
            <x v="0"/>
          </reference>
        </references>
      </pivotArea>
    </format>
    <format dxfId="910">
      <pivotArea outline="0" fieldPosition="0">
        <references count="2">
          <reference field="4294967294" count="2" selected="0">
            <x v="3"/>
            <x v="4"/>
          </reference>
          <reference field="0" count="1" selected="0">
            <x v="0"/>
          </reference>
        </references>
      </pivotArea>
    </format>
    <format dxfId="909">
      <pivotArea outline="0" fieldPosition="0">
        <references count="2">
          <reference field="4294967294" count="2" selected="0">
            <x v="6"/>
            <x v="7"/>
          </reference>
          <reference field="0" count="1" selected="0">
            <x v="0"/>
          </reference>
        </references>
      </pivotArea>
    </format>
    <format dxfId="908">
      <pivotArea outline="0" fieldPosition="0">
        <references count="2">
          <reference field="4294967294" count="2" selected="0">
            <x v="9"/>
            <x v="10"/>
          </reference>
          <reference field="0" count="1" selected="0">
            <x v="0"/>
          </reference>
        </references>
      </pivotArea>
    </format>
    <format dxfId="907">
      <pivotArea outline="0" fieldPosition="0">
        <references count="2">
          <reference field="4294967294" count="2" selected="0">
            <x v="12"/>
            <x v="13"/>
          </reference>
          <reference field="0" count="1" selected="0">
            <x v="0"/>
          </reference>
        </references>
      </pivotArea>
    </format>
    <format dxfId="906">
      <pivotArea outline="0" fieldPosition="0">
        <references count="2">
          <reference field="4294967294" count="2" selected="0">
            <x v="15"/>
            <x v="16"/>
          </reference>
          <reference field="0" count="1" selected="0">
            <x v="0"/>
          </reference>
        </references>
      </pivotArea>
    </format>
    <format dxfId="905">
      <pivotArea outline="0" fieldPosition="0">
        <references count="2">
          <reference field="4294967294" count="2" selected="0">
            <x v="18"/>
            <x v="19"/>
          </reference>
          <reference field="0" count="1" selected="0">
            <x v="0"/>
          </reference>
        </references>
      </pivotArea>
    </format>
    <format dxfId="904">
      <pivotArea outline="0" fieldPosition="0">
        <references count="2">
          <reference field="4294967294" count="3" selected="0">
            <x v="21"/>
            <x v="22"/>
            <x v="23"/>
          </reference>
          <reference field="0" count="1" selected="0">
            <x v="0"/>
          </reference>
        </references>
      </pivotArea>
    </format>
    <format dxfId="903">
      <pivotArea outline="0" fieldPosition="0">
        <references count="2">
          <reference field="4294967294" count="1" selected="0">
            <x v="23"/>
          </reference>
          <reference field="0" count="1" selected="0">
            <x v="0"/>
          </reference>
        </references>
      </pivotArea>
    </format>
    <format dxfId="902">
      <pivotArea outline="0" fieldPosition="0">
        <references count="2">
          <reference field="4294967294" count="2" selected="0">
            <x v="24"/>
            <x v="25"/>
          </reference>
          <reference field="0" count="1" selected="0">
            <x v="0"/>
          </reference>
        </references>
      </pivotArea>
    </format>
    <format dxfId="901">
      <pivotArea outline="0" fieldPosition="0">
        <references count="2">
          <reference field="4294967294" count="2" selected="0">
            <x v="27"/>
            <x v="28"/>
          </reference>
          <reference field="0" count="1" selected="0">
            <x v="0"/>
          </reference>
        </references>
      </pivotArea>
    </format>
    <format dxfId="900">
      <pivotArea outline="0" fieldPosition="0">
        <references count="2">
          <reference field="4294967294" count="2" selected="0">
            <x v="30"/>
            <x v="31"/>
          </reference>
          <reference field="0" count="1" selected="0">
            <x v="0"/>
          </reference>
        </references>
      </pivotArea>
    </format>
    <format dxfId="899">
      <pivotArea outline="0" fieldPosition="0">
        <references count="2">
          <reference field="4294967294" count="2" selected="0">
            <x v="33"/>
            <x v="34"/>
          </reference>
          <reference field="0" count="1" selected="0">
            <x v="0"/>
          </reference>
        </references>
      </pivotArea>
    </format>
    <format dxfId="898">
      <pivotArea outline="0" fieldPosition="0">
        <references count="4">
          <reference field="4294967294" count="1" selected="0">
            <x v="9"/>
          </reference>
          <reference field="0" count="1" selected="0">
            <x v="0"/>
          </reference>
          <reference field="4" count="1" selected="0">
            <x v="0"/>
          </reference>
          <reference field="33" count="1" selected="0">
            <x v="0"/>
          </reference>
        </references>
      </pivotArea>
    </format>
    <format dxfId="897">
      <pivotArea outline="0" fieldPosition="0">
        <references count="2">
          <reference field="0" count="0" selected="0"/>
          <reference field="33" count="1" selected="0" defaultSubtotal="1">
            <x v="2"/>
          </reference>
        </references>
      </pivotArea>
    </format>
    <format dxfId="896">
      <pivotArea type="topRight" dataOnly="0" labelOnly="1" outline="0" offset="O1" fieldPosition="0"/>
    </format>
    <format dxfId="895">
      <pivotArea dataOnly="0" labelOnly="1" outline="0" fieldPosition="0">
        <references count="1">
          <reference field="33" count="1" defaultSubtotal="1">
            <x v="2"/>
          </reference>
        </references>
      </pivotArea>
    </format>
    <format dxfId="894">
      <pivotArea outline="0" fieldPosition="0">
        <references count="4">
          <reference field="4294967294" count="1" selected="0">
            <x v="0"/>
          </reference>
          <reference field="0" count="1" selected="0">
            <x v="9"/>
          </reference>
          <reference field="4" count="1" selected="0">
            <x v="1"/>
          </reference>
          <reference field="33" count="1" selected="0">
            <x v="0"/>
          </reference>
        </references>
      </pivotArea>
    </format>
    <format dxfId="893">
      <pivotArea outline="0" fieldPosition="0">
        <references count="2">
          <reference field="4294967294" count="1" selected="0">
            <x v="35"/>
          </reference>
          <reference field="0" count="1" selected="0">
            <x v="0"/>
          </reference>
        </references>
      </pivotArea>
    </format>
    <format dxfId="892">
      <pivotArea dataOnly="0" labelOnly="1" outline="0" offset="IV256" fieldPosition="0">
        <references count="1">
          <reference field="0" count="1">
            <x v="0"/>
          </reference>
        </references>
      </pivotArea>
    </format>
    <format dxfId="891">
      <pivotArea dataOnly="0" labelOnly="1" outline="0" fieldPosition="0">
        <references count="2">
          <reference field="4294967294" count="1">
            <x v="35"/>
          </reference>
          <reference field="0" count="1" selected="0">
            <x v="0"/>
          </reference>
        </references>
      </pivotArea>
    </format>
    <format dxfId="890">
      <pivotArea outline="0" fieldPosition="0">
        <references count="2">
          <reference field="4294967294" count="1" selected="0">
            <x v="35"/>
          </reference>
          <reference field="0" count="1" selected="0">
            <x v="1"/>
          </reference>
        </references>
      </pivotArea>
    </format>
    <format dxfId="889">
      <pivotArea dataOnly="0" labelOnly="1" outline="0" offset="IV256" fieldPosition="0">
        <references count="1">
          <reference field="0" count="1">
            <x v="1"/>
          </reference>
        </references>
      </pivotArea>
    </format>
    <format dxfId="888">
      <pivotArea dataOnly="0" labelOnly="1" outline="0" fieldPosition="0">
        <references count="2">
          <reference field="4294967294" count="1">
            <x v="35"/>
          </reference>
          <reference field="0" count="1" selected="0">
            <x v="1"/>
          </reference>
        </references>
      </pivotArea>
    </format>
    <format dxfId="887">
      <pivotArea outline="0" fieldPosition="0">
        <references count="2">
          <reference field="4294967294" count="1" selected="0">
            <x v="35"/>
          </reference>
          <reference field="0" count="1" selected="0">
            <x v="3"/>
          </reference>
        </references>
      </pivotArea>
    </format>
    <format dxfId="886">
      <pivotArea dataOnly="0" labelOnly="1" outline="0" offset="IV256" fieldPosition="0">
        <references count="1">
          <reference field="0" count="1">
            <x v="3"/>
          </reference>
        </references>
      </pivotArea>
    </format>
    <format dxfId="885">
      <pivotArea dataOnly="0" labelOnly="1" outline="0" fieldPosition="0">
        <references count="2">
          <reference field="4294967294" count="1">
            <x v="35"/>
          </reference>
          <reference field="0" count="1" selected="0">
            <x v="3"/>
          </reference>
        </references>
      </pivotArea>
    </format>
    <format dxfId="884">
      <pivotArea outline="0" fieldPosition="0">
        <references count="2">
          <reference field="4294967294" count="1" selected="0">
            <x v="35"/>
          </reference>
          <reference field="0" count="1" selected="0">
            <x v="4"/>
          </reference>
        </references>
      </pivotArea>
    </format>
    <format dxfId="883">
      <pivotArea dataOnly="0" labelOnly="1" outline="0" offset="IV256" fieldPosition="0">
        <references count="1">
          <reference field="0" count="1">
            <x v="4"/>
          </reference>
        </references>
      </pivotArea>
    </format>
    <format dxfId="882">
      <pivotArea dataOnly="0" labelOnly="1" outline="0" fieldPosition="0">
        <references count="2">
          <reference field="4294967294" count="1">
            <x v="35"/>
          </reference>
          <reference field="0" count="1" selected="0">
            <x v="4"/>
          </reference>
        </references>
      </pivotArea>
    </format>
    <format dxfId="881">
      <pivotArea outline="0" fieldPosition="0">
        <references count="2">
          <reference field="4294967294" count="1" selected="0">
            <x v="35"/>
          </reference>
          <reference field="0" count="1" selected="0">
            <x v="5"/>
          </reference>
        </references>
      </pivotArea>
    </format>
    <format dxfId="880">
      <pivotArea dataOnly="0" labelOnly="1" outline="0" offset="IV256" fieldPosition="0">
        <references count="1">
          <reference field="0" count="1">
            <x v="5"/>
          </reference>
        </references>
      </pivotArea>
    </format>
    <format dxfId="879">
      <pivotArea dataOnly="0" labelOnly="1" outline="0" fieldPosition="0">
        <references count="2">
          <reference field="4294967294" count="1">
            <x v="35"/>
          </reference>
          <reference field="0" count="1" selected="0">
            <x v="5"/>
          </reference>
        </references>
      </pivotArea>
    </format>
    <format dxfId="878">
      <pivotArea type="origin" dataOnly="0" labelOnly="1" outline="0" offset="A2:B2" fieldPosition="0"/>
    </format>
    <format dxfId="877">
      <pivotArea dataOnly="0" labelOnly="1" outline="0" fieldPosition="0">
        <references count="1">
          <reference field="33" count="1">
            <x v="0"/>
          </reference>
        </references>
      </pivotArea>
    </format>
    <format dxfId="876">
      <pivotArea dataOnly="0" labelOnly="1" outline="0" offset="IV1" fieldPosition="0">
        <references count="1">
          <reference field="33" count="1" defaultSubtotal="1">
            <x v="0"/>
          </reference>
        </references>
      </pivotArea>
    </format>
    <format dxfId="875">
      <pivotArea dataOnly="0" labelOnly="1" outline="0" fieldPosition="0">
        <references count="1">
          <reference field="33" count="1">
            <x v="1"/>
          </reference>
        </references>
      </pivotArea>
    </format>
    <format dxfId="874">
      <pivotArea dataOnly="0" labelOnly="1" outline="0" offset="IV1" fieldPosition="0">
        <references count="1">
          <reference field="33" count="1" defaultSubtotal="1">
            <x v="1"/>
          </reference>
        </references>
      </pivotArea>
    </format>
    <format dxfId="873">
      <pivotArea dataOnly="0" labelOnly="1" outline="0" fieldPosition="0">
        <references count="1">
          <reference field="33" count="1">
            <x v="2"/>
          </reference>
        </references>
      </pivotArea>
    </format>
    <format dxfId="872">
      <pivotArea dataOnly="0" labelOnly="1" outline="0" offset="IV1" fieldPosition="0">
        <references count="1">
          <reference field="33" count="1" defaultSubtotal="1">
            <x v="2"/>
          </reference>
        </references>
      </pivotArea>
    </format>
    <format dxfId="871">
      <pivotArea outline="0" fieldPosition="0">
        <references count="2">
          <reference field="4294967294" count="1" selected="0">
            <x v="2"/>
          </reference>
          <reference field="0" count="1" selected="0">
            <x v="7"/>
          </reference>
        </references>
      </pivotArea>
    </format>
    <format dxfId="870">
      <pivotArea outline="0" fieldPosition="0">
        <references count="2">
          <reference field="4294967294" count="1" selected="0">
            <x v="5"/>
          </reference>
          <reference field="0" count="1" selected="0">
            <x v="7"/>
          </reference>
        </references>
      </pivotArea>
    </format>
    <format dxfId="869">
      <pivotArea outline="0" fieldPosition="0">
        <references count="2">
          <reference field="4294967294" count="1" selected="0">
            <x v="8"/>
          </reference>
          <reference field="0" count="1" selected="0">
            <x v="7"/>
          </reference>
        </references>
      </pivotArea>
    </format>
    <format dxfId="868">
      <pivotArea outline="0" fieldPosition="0">
        <references count="2">
          <reference field="4294967294" count="1" selected="0">
            <x v="11"/>
          </reference>
          <reference field="0" count="1" selected="0">
            <x v="7"/>
          </reference>
        </references>
      </pivotArea>
    </format>
    <format dxfId="867">
      <pivotArea outline="0" fieldPosition="0">
        <references count="2">
          <reference field="4294967294" count="1" selected="0">
            <x v="14"/>
          </reference>
          <reference field="0" count="1" selected="0">
            <x v="7"/>
          </reference>
        </references>
      </pivotArea>
    </format>
    <format dxfId="866">
      <pivotArea outline="0" fieldPosition="0">
        <references count="2">
          <reference field="4294967294" count="1" selected="0">
            <x v="17"/>
          </reference>
          <reference field="0" count="1" selected="0">
            <x v="7"/>
          </reference>
        </references>
      </pivotArea>
    </format>
    <format dxfId="865">
      <pivotArea outline="0" fieldPosition="0">
        <references count="2">
          <reference field="4294967294" count="1" selected="0">
            <x v="20"/>
          </reference>
          <reference field="0" count="1" selected="0">
            <x v="7"/>
          </reference>
        </references>
      </pivotArea>
    </format>
    <format dxfId="864">
      <pivotArea outline="0" fieldPosition="0">
        <references count="2">
          <reference field="4294967294" count="1" selected="0">
            <x v="23"/>
          </reference>
          <reference field="0" count="1" selected="0">
            <x v="7"/>
          </reference>
        </references>
      </pivotArea>
    </format>
    <format dxfId="863">
      <pivotArea outline="0" fieldPosition="0">
        <references count="2">
          <reference field="4294967294" count="1" selected="0">
            <x v="26"/>
          </reference>
          <reference field="0" count="1" selected="0">
            <x v="7"/>
          </reference>
        </references>
      </pivotArea>
    </format>
    <format dxfId="862">
      <pivotArea outline="0" fieldPosition="0">
        <references count="2">
          <reference field="4294967294" count="1" selected="0">
            <x v="29"/>
          </reference>
          <reference field="0" count="1" selected="0">
            <x v="7"/>
          </reference>
        </references>
      </pivotArea>
    </format>
    <format dxfId="861">
      <pivotArea outline="0" fieldPosition="0">
        <references count="2">
          <reference field="4294967294" count="1" selected="0">
            <x v="32"/>
          </reference>
          <reference field="0" count="1" selected="0">
            <x v="7"/>
          </reference>
        </references>
      </pivotArea>
    </format>
    <format dxfId="860">
      <pivotArea outline="0" fieldPosition="0">
        <references count="2">
          <reference field="4294967294" count="1" selected="0">
            <x v="35"/>
          </reference>
          <reference field="0" count="1" selected="0">
            <x v="7"/>
          </reference>
        </references>
      </pivotArea>
    </format>
    <format dxfId="859">
      <pivotArea dataOnly="0" labelOnly="1" outline="0" fieldPosition="0">
        <references count="2">
          <reference field="4294967294" count="1">
            <x v="35"/>
          </reference>
          <reference field="0" count="1" selected="0">
            <x v="7"/>
          </reference>
        </references>
      </pivotArea>
    </format>
    <format dxfId="858">
      <pivotArea outline="0" fieldPosition="0">
        <references count="2">
          <reference field="4294967294" count="1" selected="0">
            <x v="2"/>
          </reference>
          <reference field="0" count="1" selected="0">
            <x v="1"/>
          </reference>
        </references>
      </pivotArea>
    </format>
    <format dxfId="857">
      <pivotArea outline="0" fieldPosition="0">
        <references count="1">
          <reference field="4294967294" count="1">
            <x v="2"/>
          </reference>
        </references>
      </pivotArea>
    </format>
    <format dxfId="856">
      <pivotArea outline="0" fieldPosition="0">
        <references count="4">
          <reference field="4294967294" count="1" selected="0">
            <x v="17"/>
          </reference>
          <reference field="0" count="1" selected="0">
            <x v="1"/>
          </reference>
          <reference field="4" count="1" selected="0">
            <x v="0"/>
          </reference>
          <reference field="33" count="1" selected="0">
            <x v="0"/>
          </reference>
        </references>
      </pivotArea>
    </format>
    <format dxfId="855">
      <pivotArea outline="0" fieldPosition="0">
        <references count="4">
          <reference field="4294967294" count="1" selected="0">
            <x v="20"/>
          </reference>
          <reference field="0" count="1" selected="0">
            <x v="1"/>
          </reference>
          <reference field="4" count="1" selected="0">
            <x v="0"/>
          </reference>
          <reference field="33" count="1" selected="0">
            <x v="0"/>
          </reference>
        </references>
      </pivotArea>
    </format>
    <format dxfId="854">
      <pivotArea outline="0" fieldPosition="0">
        <references count="4">
          <reference field="4294967294" count="1" selected="0">
            <x v="23"/>
          </reference>
          <reference field="0" count="1" selected="0">
            <x v="1"/>
          </reference>
          <reference field="4" count="1" selected="0">
            <x v="0"/>
          </reference>
          <reference field="33" count="1" selected="0">
            <x v="0"/>
          </reference>
        </references>
      </pivotArea>
    </format>
    <format dxfId="853">
      <pivotArea outline="0" fieldPosition="0">
        <references count="4">
          <reference field="4294967294" count="1" selected="0">
            <x v="26"/>
          </reference>
          <reference field="0" count="1" selected="0">
            <x v="1"/>
          </reference>
          <reference field="4" count="1" selected="0">
            <x v="0"/>
          </reference>
          <reference field="33" count="1" selected="0">
            <x v="0"/>
          </reference>
        </references>
      </pivotArea>
    </format>
    <format dxfId="852">
      <pivotArea outline="0" fieldPosition="0">
        <references count="4">
          <reference field="4294967294" count="1" selected="0">
            <x v="29"/>
          </reference>
          <reference field="0" count="1" selected="0">
            <x v="1"/>
          </reference>
          <reference field="4" count="1" selected="0">
            <x v="0"/>
          </reference>
          <reference field="33" count="1" selected="0">
            <x v="0"/>
          </reference>
        </references>
      </pivotArea>
    </format>
    <format dxfId="851">
      <pivotArea outline="0" fieldPosition="0">
        <references count="4">
          <reference field="4294967294" count="1" selected="0">
            <x v="32"/>
          </reference>
          <reference field="0" count="1" selected="0">
            <x v="1"/>
          </reference>
          <reference field="4" count="1" selected="0">
            <x v="0"/>
          </reference>
          <reference field="33" count="1" selected="0">
            <x v="0"/>
          </reference>
        </references>
      </pivotArea>
    </format>
    <format dxfId="850">
      <pivotArea outline="0" fieldPosition="0">
        <references count="4">
          <reference field="4294967294" count="1" selected="0">
            <x v="35"/>
          </reference>
          <reference field="0" count="1" selected="0">
            <x v="1"/>
          </reference>
          <reference field="4" count="1" selected="0">
            <x v="0"/>
          </reference>
          <reference field="33" count="1" selected="0">
            <x v="0"/>
          </reference>
        </references>
      </pivotArea>
    </format>
    <format dxfId="849">
      <pivotArea outline="0" fieldPosition="0">
        <references count="2">
          <reference field="4294967294" count="2" selected="0">
            <x v="0"/>
            <x v="1"/>
          </reference>
          <reference field="0" count="1" selected="0">
            <x v="1"/>
          </reference>
        </references>
      </pivotArea>
    </format>
    <format dxfId="848">
      <pivotArea outline="0" fieldPosition="0">
        <references count="2">
          <reference field="4294967294" count="1" selected="0">
            <x v="32"/>
          </reference>
          <reference field="0" count="1" selected="0">
            <x v="1"/>
          </reference>
        </references>
      </pivotArea>
    </format>
    <format dxfId="847">
      <pivotArea dataOnly="0" labelOnly="1" outline="0" fieldPosition="0">
        <references count="1">
          <reference field="0" count="1">
            <x v="7"/>
          </reference>
        </references>
      </pivotArea>
    </format>
    <format dxfId="846">
      <pivotArea field="0" dataOnly="0" labelOnly="1" grandRow="1" outline="0" axis="axisRow" fieldPosition="0">
        <references count="1">
          <reference field="4294967294" count="1" selected="0">
            <x v="0"/>
          </reference>
        </references>
      </pivotArea>
    </format>
    <format dxfId="845">
      <pivotArea field="0" dataOnly="0" labelOnly="1" grandRow="1" outline="0" axis="axisRow" fieldPosition="0">
        <references count="1">
          <reference field="4294967294" count="1" selected="0">
            <x v="1"/>
          </reference>
        </references>
      </pivotArea>
    </format>
    <format dxfId="844">
      <pivotArea field="0" dataOnly="0" labelOnly="1" grandRow="1" outline="0" axis="axisRow" fieldPosition="0">
        <references count="1">
          <reference field="4294967294" count="1" selected="0">
            <x v="2"/>
          </reference>
        </references>
      </pivotArea>
    </format>
    <format dxfId="843">
      <pivotArea field="0" dataOnly="0" labelOnly="1" grandRow="1" outline="0" axis="axisRow" fieldPosition="0">
        <references count="1">
          <reference field="4294967294" count="1" selected="0">
            <x v="3"/>
          </reference>
        </references>
      </pivotArea>
    </format>
    <format dxfId="842">
      <pivotArea field="0" dataOnly="0" labelOnly="1" grandRow="1" outline="0" axis="axisRow" fieldPosition="0">
        <references count="1">
          <reference field="4294967294" count="1" selected="0">
            <x v="4"/>
          </reference>
        </references>
      </pivotArea>
    </format>
    <format dxfId="841">
      <pivotArea field="0" dataOnly="0" labelOnly="1" grandRow="1" outline="0" axis="axisRow" fieldPosition="0">
        <references count="1">
          <reference field="4294967294" count="1" selected="0">
            <x v="5"/>
          </reference>
        </references>
      </pivotArea>
    </format>
    <format dxfId="840">
      <pivotArea field="0" dataOnly="0" labelOnly="1" grandRow="1" outline="0" axis="axisRow" fieldPosition="0">
        <references count="1">
          <reference field="4294967294" count="1" selected="0">
            <x v="6"/>
          </reference>
        </references>
      </pivotArea>
    </format>
    <format dxfId="839">
      <pivotArea field="0" dataOnly="0" labelOnly="1" grandRow="1" outline="0" axis="axisRow" fieldPosition="0">
        <references count="1">
          <reference field="4294967294" count="1" selected="0">
            <x v="7"/>
          </reference>
        </references>
      </pivotArea>
    </format>
    <format dxfId="838">
      <pivotArea field="0" dataOnly="0" labelOnly="1" grandRow="1" outline="0" axis="axisRow" fieldPosition="0">
        <references count="1">
          <reference field="4294967294" count="1" selected="0">
            <x v="8"/>
          </reference>
        </references>
      </pivotArea>
    </format>
    <format dxfId="837">
      <pivotArea field="0" dataOnly="0" labelOnly="1" grandRow="1" outline="0" axis="axisRow" fieldPosition="0">
        <references count="1">
          <reference field="4294967294" count="1" selected="0">
            <x v="9"/>
          </reference>
        </references>
      </pivotArea>
    </format>
    <format dxfId="836">
      <pivotArea field="0" dataOnly="0" labelOnly="1" grandRow="1" outline="0" axis="axisRow" fieldPosition="0">
        <references count="1">
          <reference field="4294967294" count="1" selected="0">
            <x v="10"/>
          </reference>
        </references>
      </pivotArea>
    </format>
    <format dxfId="835">
      <pivotArea field="0" dataOnly="0" labelOnly="1" grandRow="1" outline="0" axis="axisRow" fieldPosition="0">
        <references count="1">
          <reference field="4294967294" count="1" selected="0">
            <x v="11"/>
          </reference>
        </references>
      </pivotArea>
    </format>
    <format dxfId="834">
      <pivotArea field="0" dataOnly="0" labelOnly="1" grandRow="1" outline="0" axis="axisRow" fieldPosition="0">
        <references count="1">
          <reference field="4294967294" count="1" selected="0">
            <x v="12"/>
          </reference>
        </references>
      </pivotArea>
    </format>
    <format dxfId="833">
      <pivotArea field="0" dataOnly="0" labelOnly="1" grandRow="1" outline="0" axis="axisRow" fieldPosition="0">
        <references count="1">
          <reference field="4294967294" count="1" selected="0">
            <x v="13"/>
          </reference>
        </references>
      </pivotArea>
    </format>
    <format dxfId="832">
      <pivotArea field="0" dataOnly="0" labelOnly="1" grandRow="1" outline="0" axis="axisRow" fieldPosition="0">
        <references count="1">
          <reference field="4294967294" count="1" selected="0">
            <x v="14"/>
          </reference>
        </references>
      </pivotArea>
    </format>
    <format dxfId="831">
      <pivotArea field="0" dataOnly="0" labelOnly="1" grandRow="1" outline="0" axis="axisRow" fieldPosition="0">
        <references count="1">
          <reference field="4294967294" count="1" selected="0">
            <x v="15"/>
          </reference>
        </references>
      </pivotArea>
    </format>
    <format dxfId="830">
      <pivotArea field="0" dataOnly="0" labelOnly="1" grandRow="1" outline="0" axis="axisRow" fieldPosition="0">
        <references count="1">
          <reference field="4294967294" count="1" selected="0">
            <x v="16"/>
          </reference>
        </references>
      </pivotArea>
    </format>
    <format dxfId="829">
      <pivotArea field="0" dataOnly="0" labelOnly="1" grandRow="1" outline="0" axis="axisRow" fieldPosition="0">
        <references count="1">
          <reference field="4294967294" count="1" selected="0">
            <x v="17"/>
          </reference>
        </references>
      </pivotArea>
    </format>
    <format dxfId="828">
      <pivotArea field="0" dataOnly="0" labelOnly="1" grandRow="1" outline="0" axis="axisRow" fieldPosition="0">
        <references count="1">
          <reference field="4294967294" count="1" selected="0">
            <x v="18"/>
          </reference>
        </references>
      </pivotArea>
    </format>
    <format dxfId="827">
      <pivotArea field="0" dataOnly="0" labelOnly="1" grandRow="1" outline="0" axis="axisRow" fieldPosition="0">
        <references count="1">
          <reference field="4294967294" count="1" selected="0">
            <x v="19"/>
          </reference>
        </references>
      </pivotArea>
    </format>
    <format dxfId="826">
      <pivotArea field="0" dataOnly="0" labelOnly="1" grandRow="1" outline="0" axis="axisRow" fieldPosition="0">
        <references count="1">
          <reference field="4294967294" count="1" selected="0">
            <x v="20"/>
          </reference>
        </references>
      </pivotArea>
    </format>
    <format dxfId="825">
      <pivotArea field="0" dataOnly="0" labelOnly="1" grandRow="1" outline="0" axis="axisRow" fieldPosition="0">
        <references count="1">
          <reference field="4294967294" count="1" selected="0">
            <x v="21"/>
          </reference>
        </references>
      </pivotArea>
    </format>
    <format dxfId="824">
      <pivotArea field="0" dataOnly="0" labelOnly="1" grandRow="1" outline="0" axis="axisRow" fieldPosition="0">
        <references count="1">
          <reference field="4294967294" count="1" selected="0">
            <x v="22"/>
          </reference>
        </references>
      </pivotArea>
    </format>
    <format dxfId="823">
      <pivotArea field="0" dataOnly="0" labelOnly="1" grandRow="1" outline="0" axis="axisRow" fieldPosition="0">
        <references count="1">
          <reference field="4294967294" count="1" selected="0">
            <x v="23"/>
          </reference>
        </references>
      </pivotArea>
    </format>
    <format dxfId="822">
      <pivotArea field="0" dataOnly="0" labelOnly="1" grandRow="1" outline="0" axis="axisRow" fieldPosition="0">
        <references count="1">
          <reference field="4294967294" count="1" selected="0">
            <x v="24"/>
          </reference>
        </references>
      </pivotArea>
    </format>
    <format dxfId="821">
      <pivotArea field="0" dataOnly="0" labelOnly="1" grandRow="1" outline="0" axis="axisRow" fieldPosition="0">
        <references count="1">
          <reference field="4294967294" count="1" selected="0">
            <x v="25"/>
          </reference>
        </references>
      </pivotArea>
    </format>
    <format dxfId="820">
      <pivotArea field="0" dataOnly="0" labelOnly="1" grandRow="1" outline="0" axis="axisRow" fieldPosition="0">
        <references count="1">
          <reference field="4294967294" count="1" selected="0">
            <x v="26"/>
          </reference>
        </references>
      </pivotArea>
    </format>
    <format dxfId="819">
      <pivotArea field="0" dataOnly="0" labelOnly="1" grandRow="1" outline="0" axis="axisRow" fieldPosition="0">
        <references count="1">
          <reference field="4294967294" count="1" selected="0">
            <x v="27"/>
          </reference>
        </references>
      </pivotArea>
    </format>
    <format dxfId="818">
      <pivotArea field="0" dataOnly="0" labelOnly="1" grandRow="1" outline="0" axis="axisRow" fieldPosition="0">
        <references count="1">
          <reference field="4294967294" count="1" selected="0">
            <x v="28"/>
          </reference>
        </references>
      </pivotArea>
    </format>
    <format dxfId="817">
      <pivotArea field="0" dataOnly="0" labelOnly="1" grandRow="1" outline="0" axis="axisRow" fieldPosition="0">
        <references count="1">
          <reference field="4294967294" count="1" selected="0">
            <x v="29"/>
          </reference>
        </references>
      </pivotArea>
    </format>
    <format dxfId="816">
      <pivotArea field="0" dataOnly="0" labelOnly="1" grandRow="1" outline="0" axis="axisRow" fieldPosition="0">
        <references count="1">
          <reference field="4294967294" count="1" selected="0">
            <x v="30"/>
          </reference>
        </references>
      </pivotArea>
    </format>
    <format dxfId="815">
      <pivotArea field="0" dataOnly="0" labelOnly="1" grandRow="1" outline="0" axis="axisRow" fieldPosition="0">
        <references count="1">
          <reference field="4294967294" count="1" selected="0">
            <x v="31"/>
          </reference>
        </references>
      </pivotArea>
    </format>
    <format dxfId="814">
      <pivotArea field="0" dataOnly="0" labelOnly="1" grandRow="1" outline="0" axis="axisRow" fieldPosition="0">
        <references count="1">
          <reference field="4294967294" count="1" selected="0">
            <x v="32"/>
          </reference>
        </references>
      </pivotArea>
    </format>
    <format dxfId="813">
      <pivotArea field="0" dataOnly="0" labelOnly="1" grandRow="1" outline="0" axis="axisRow" fieldPosition="0">
        <references count="1">
          <reference field="4294967294" count="1" selected="0">
            <x v="33"/>
          </reference>
        </references>
      </pivotArea>
    </format>
    <format dxfId="812">
      <pivotArea field="0" dataOnly="0" labelOnly="1" grandRow="1" outline="0" axis="axisRow" fieldPosition="0">
        <references count="1">
          <reference field="4294967294" count="1" selected="0">
            <x v="34"/>
          </reference>
        </references>
      </pivotArea>
    </format>
    <format dxfId="811">
      <pivotArea field="0" dataOnly="0" labelOnly="1" grandRow="1" outline="0" axis="axisRow" fieldPosition="0">
        <references count="1">
          <reference field="4294967294" count="1" selected="0">
            <x v="35"/>
          </reference>
        </references>
      </pivotArea>
    </format>
    <format dxfId="810">
      <pivotArea field="0" grandRow="1" outline="0" axis="axisRow" fieldPosition="0">
        <references count="1">
          <reference field="4294967294" count="1" selected="0">
            <x v="35"/>
          </reference>
        </references>
      </pivotArea>
    </format>
    <format dxfId="809">
      <pivotArea field="0" dataOnly="0" labelOnly="1" grandRow="1" outline="0" offset="IV256" axis="axisRow" fieldPosition="0">
        <references count="1">
          <reference field="4294967294" count="1" selected="0">
            <x v="0"/>
          </reference>
        </references>
      </pivotArea>
    </format>
    <format dxfId="808">
      <pivotArea field="0" dataOnly="0" labelOnly="1" grandRow="1" outline="0" offset="IV256" axis="axisRow" fieldPosition="0">
        <references count="1">
          <reference field="4294967294" count="1" selected="0">
            <x v="1"/>
          </reference>
        </references>
      </pivotArea>
    </format>
    <format dxfId="807">
      <pivotArea field="0" dataOnly="0" labelOnly="1" grandRow="1" outline="0" offset="IV256" axis="axisRow" fieldPosition="0">
        <references count="1">
          <reference field="4294967294" count="1" selected="0">
            <x v="2"/>
          </reference>
        </references>
      </pivotArea>
    </format>
    <format dxfId="806">
      <pivotArea field="0" dataOnly="0" labelOnly="1" grandRow="1" outline="0" offset="IV256" axis="axisRow" fieldPosition="0">
        <references count="1">
          <reference field="4294967294" count="1" selected="0">
            <x v="3"/>
          </reference>
        </references>
      </pivotArea>
    </format>
    <format dxfId="805">
      <pivotArea field="0" dataOnly="0" labelOnly="1" grandRow="1" outline="0" offset="IV256" axis="axisRow" fieldPosition="0">
        <references count="1">
          <reference field="4294967294" count="1" selected="0">
            <x v="4"/>
          </reference>
        </references>
      </pivotArea>
    </format>
    <format dxfId="804">
      <pivotArea field="0" dataOnly="0" labelOnly="1" grandRow="1" outline="0" offset="IV256" axis="axisRow" fieldPosition="0">
        <references count="1">
          <reference field="4294967294" count="1" selected="0">
            <x v="5"/>
          </reference>
        </references>
      </pivotArea>
    </format>
    <format dxfId="803">
      <pivotArea field="0" dataOnly="0" labelOnly="1" grandRow="1" outline="0" offset="IV256" axis="axisRow" fieldPosition="0">
        <references count="1">
          <reference field="4294967294" count="1" selected="0">
            <x v="6"/>
          </reference>
        </references>
      </pivotArea>
    </format>
    <format dxfId="802">
      <pivotArea field="0" dataOnly="0" labelOnly="1" grandRow="1" outline="0" offset="IV256" axis="axisRow" fieldPosition="0">
        <references count="1">
          <reference field="4294967294" count="1" selected="0">
            <x v="7"/>
          </reference>
        </references>
      </pivotArea>
    </format>
    <format dxfId="801">
      <pivotArea field="0" dataOnly="0" labelOnly="1" grandRow="1" outline="0" offset="IV256" axis="axisRow" fieldPosition="0">
        <references count="1">
          <reference field="4294967294" count="1" selected="0">
            <x v="8"/>
          </reference>
        </references>
      </pivotArea>
    </format>
    <format dxfId="800">
      <pivotArea field="0" dataOnly="0" labelOnly="1" grandRow="1" outline="0" offset="IV256" axis="axisRow" fieldPosition="0">
        <references count="1">
          <reference field="4294967294" count="1" selected="0">
            <x v="9"/>
          </reference>
        </references>
      </pivotArea>
    </format>
    <format dxfId="799">
      <pivotArea field="0" dataOnly="0" labelOnly="1" grandRow="1" outline="0" offset="IV256" axis="axisRow" fieldPosition="0">
        <references count="1">
          <reference field="4294967294" count="1" selected="0">
            <x v="10"/>
          </reference>
        </references>
      </pivotArea>
    </format>
    <format dxfId="798">
      <pivotArea field="0" dataOnly="0" labelOnly="1" grandRow="1" outline="0" offset="IV256" axis="axisRow" fieldPosition="0">
        <references count="1">
          <reference field="4294967294" count="1" selected="0">
            <x v="11"/>
          </reference>
        </references>
      </pivotArea>
    </format>
    <format dxfId="797">
      <pivotArea field="0" dataOnly="0" labelOnly="1" grandRow="1" outline="0" offset="IV256" axis="axisRow" fieldPosition="0">
        <references count="1">
          <reference field="4294967294" count="1" selected="0">
            <x v="12"/>
          </reference>
        </references>
      </pivotArea>
    </format>
    <format dxfId="796">
      <pivotArea field="0" dataOnly="0" labelOnly="1" grandRow="1" outline="0" offset="IV256" axis="axisRow" fieldPosition="0">
        <references count="1">
          <reference field="4294967294" count="1" selected="0">
            <x v="13"/>
          </reference>
        </references>
      </pivotArea>
    </format>
    <format dxfId="795">
      <pivotArea field="0" dataOnly="0" labelOnly="1" grandRow="1" outline="0" offset="IV256" axis="axisRow" fieldPosition="0">
        <references count="1">
          <reference field="4294967294" count="1" selected="0">
            <x v="14"/>
          </reference>
        </references>
      </pivotArea>
    </format>
    <format dxfId="794">
      <pivotArea field="0" dataOnly="0" labelOnly="1" grandRow="1" outline="0" offset="IV256" axis="axisRow" fieldPosition="0">
        <references count="1">
          <reference field="4294967294" count="1" selected="0">
            <x v="15"/>
          </reference>
        </references>
      </pivotArea>
    </format>
    <format dxfId="793">
      <pivotArea field="0" dataOnly="0" labelOnly="1" grandRow="1" outline="0" offset="IV256" axis="axisRow" fieldPosition="0">
        <references count="1">
          <reference field="4294967294" count="1" selected="0">
            <x v="16"/>
          </reference>
        </references>
      </pivotArea>
    </format>
    <format dxfId="792">
      <pivotArea field="0" dataOnly="0" labelOnly="1" grandRow="1" outline="0" offset="IV256" axis="axisRow" fieldPosition="0">
        <references count="1">
          <reference field="4294967294" count="1" selected="0">
            <x v="17"/>
          </reference>
        </references>
      </pivotArea>
    </format>
    <format dxfId="791">
      <pivotArea field="0" dataOnly="0" labelOnly="1" grandRow="1" outline="0" offset="IV256" axis="axisRow" fieldPosition="0">
        <references count="1">
          <reference field="4294967294" count="1" selected="0">
            <x v="18"/>
          </reference>
        </references>
      </pivotArea>
    </format>
    <format dxfId="790">
      <pivotArea field="0" dataOnly="0" labelOnly="1" grandRow="1" outline="0" offset="IV256" axis="axisRow" fieldPosition="0">
        <references count="1">
          <reference field="4294967294" count="1" selected="0">
            <x v="19"/>
          </reference>
        </references>
      </pivotArea>
    </format>
    <format dxfId="789">
      <pivotArea field="0" dataOnly="0" labelOnly="1" grandRow="1" outline="0" offset="IV256" axis="axisRow" fieldPosition="0">
        <references count="1">
          <reference field="4294967294" count="1" selected="0">
            <x v="20"/>
          </reference>
        </references>
      </pivotArea>
    </format>
    <format dxfId="788">
      <pivotArea field="0" dataOnly="0" labelOnly="1" grandRow="1" outline="0" offset="IV256" axis="axisRow" fieldPosition="0">
        <references count="1">
          <reference field="4294967294" count="1" selected="0">
            <x v="21"/>
          </reference>
        </references>
      </pivotArea>
    </format>
    <format dxfId="787">
      <pivotArea field="0" dataOnly="0" labelOnly="1" grandRow="1" outline="0" offset="IV256" axis="axisRow" fieldPosition="0">
        <references count="1">
          <reference field="4294967294" count="1" selected="0">
            <x v="22"/>
          </reference>
        </references>
      </pivotArea>
    </format>
    <format dxfId="786">
      <pivotArea field="0" dataOnly="0" labelOnly="1" grandRow="1" outline="0" offset="IV256" axis="axisRow" fieldPosition="0">
        <references count="1">
          <reference field="4294967294" count="1" selected="0">
            <x v="23"/>
          </reference>
        </references>
      </pivotArea>
    </format>
    <format dxfId="785">
      <pivotArea field="0" dataOnly="0" labelOnly="1" grandRow="1" outline="0" offset="IV256" axis="axisRow" fieldPosition="0">
        <references count="1">
          <reference field="4294967294" count="1" selected="0">
            <x v="24"/>
          </reference>
        </references>
      </pivotArea>
    </format>
    <format dxfId="784">
      <pivotArea field="0" dataOnly="0" labelOnly="1" grandRow="1" outline="0" offset="IV256" axis="axisRow" fieldPosition="0">
        <references count="1">
          <reference field="4294967294" count="1" selected="0">
            <x v="25"/>
          </reference>
        </references>
      </pivotArea>
    </format>
    <format dxfId="783">
      <pivotArea field="0" dataOnly="0" labelOnly="1" grandRow="1" outline="0" offset="IV256" axis="axisRow" fieldPosition="0">
        <references count="1">
          <reference field="4294967294" count="1" selected="0">
            <x v="26"/>
          </reference>
        </references>
      </pivotArea>
    </format>
    <format dxfId="782">
      <pivotArea field="0" dataOnly="0" labelOnly="1" grandRow="1" outline="0" offset="IV256" axis="axisRow" fieldPosition="0">
        <references count="1">
          <reference field="4294967294" count="1" selected="0">
            <x v="27"/>
          </reference>
        </references>
      </pivotArea>
    </format>
    <format dxfId="781">
      <pivotArea field="0" dataOnly="0" labelOnly="1" grandRow="1" outline="0" offset="IV256" axis="axisRow" fieldPosition="0">
        <references count="1">
          <reference field="4294967294" count="1" selected="0">
            <x v="28"/>
          </reference>
        </references>
      </pivotArea>
    </format>
    <format dxfId="780">
      <pivotArea field="0" dataOnly="0" labelOnly="1" grandRow="1" outline="0" offset="IV256" axis="axisRow" fieldPosition="0">
        <references count="1">
          <reference field="4294967294" count="1" selected="0">
            <x v="29"/>
          </reference>
        </references>
      </pivotArea>
    </format>
    <format dxfId="779">
      <pivotArea field="0" dataOnly="0" labelOnly="1" grandRow="1" outline="0" offset="IV256" axis="axisRow" fieldPosition="0">
        <references count="1">
          <reference field="4294967294" count="1" selected="0">
            <x v="30"/>
          </reference>
        </references>
      </pivotArea>
    </format>
    <format dxfId="778">
      <pivotArea field="0" dataOnly="0" labelOnly="1" grandRow="1" outline="0" offset="IV256" axis="axisRow" fieldPosition="0">
        <references count="1">
          <reference field="4294967294" count="1" selected="0">
            <x v="31"/>
          </reference>
        </references>
      </pivotArea>
    </format>
    <format dxfId="777">
      <pivotArea field="0" dataOnly="0" labelOnly="1" grandRow="1" outline="0" offset="IV256" axis="axisRow" fieldPosition="0">
        <references count="1">
          <reference field="4294967294" count="1" selected="0">
            <x v="32"/>
          </reference>
        </references>
      </pivotArea>
    </format>
    <format dxfId="776">
      <pivotArea field="0" dataOnly="0" labelOnly="1" grandRow="1" outline="0" offset="IV256" axis="axisRow" fieldPosition="0">
        <references count="1">
          <reference field="4294967294" count="1" selected="0">
            <x v="33"/>
          </reference>
        </references>
      </pivotArea>
    </format>
    <format dxfId="775">
      <pivotArea field="0" dataOnly="0" labelOnly="1" grandRow="1" outline="0" offset="IV256" axis="axisRow" fieldPosition="0">
        <references count="1">
          <reference field="4294967294" count="1" selected="0">
            <x v="34"/>
          </reference>
        </references>
      </pivotArea>
    </format>
    <format dxfId="774">
      <pivotArea field="0" dataOnly="0" labelOnly="1" grandRow="1" outline="0" offset="IV256" axis="axisRow" fieldPosition="0">
        <references count="1">
          <reference field="4294967294" count="1" selected="0">
            <x v="35"/>
          </reference>
        </references>
      </pivotArea>
    </format>
    <format dxfId="773">
      <pivotArea outline="0" fieldPosition="0">
        <references count="4">
          <reference field="4294967294" count="1" selected="0">
            <x v="2"/>
          </reference>
          <reference field="0" count="1" selected="0">
            <x v="0"/>
          </reference>
          <reference field="4" count="1" selected="0">
            <x v="10"/>
          </reference>
          <reference field="33" count="1" selected="0">
            <x v="2"/>
          </reference>
        </references>
      </pivotArea>
    </format>
    <format dxfId="772">
      <pivotArea outline="0" fieldPosition="0">
        <references count="4">
          <reference field="4294967294" count="1" selected="0">
            <x v="2"/>
          </reference>
          <reference field="0" count="1" selected="0">
            <x v="0"/>
          </reference>
          <reference field="4" count="1" selected="0">
            <x v="10"/>
          </reference>
          <reference field="33" count="1" selected="0">
            <x v="2"/>
          </reference>
        </references>
      </pivotArea>
    </format>
    <format dxfId="771">
      <pivotArea outline="0" fieldPosition="0">
        <references count="4">
          <reference field="4294967294" count="1" selected="0">
            <x v="4"/>
          </reference>
          <reference field="0" count="1" selected="0">
            <x v="0"/>
          </reference>
          <reference field="4" count="1" selected="0">
            <x v="10"/>
          </reference>
          <reference field="33" count="1" selected="0">
            <x v="2"/>
          </reference>
        </references>
      </pivotArea>
    </format>
    <format dxfId="770">
      <pivotArea outline="0" fieldPosition="0">
        <references count="4">
          <reference field="4294967294" count="1" selected="0">
            <x v="4"/>
          </reference>
          <reference field="0" count="1" selected="0">
            <x v="0"/>
          </reference>
          <reference field="4" count="1" selected="0">
            <x v="10"/>
          </reference>
          <reference field="33" count="1" selected="0">
            <x v="2"/>
          </reference>
        </references>
      </pivotArea>
    </format>
    <format dxfId="769">
      <pivotArea outline="0" fieldPosition="0">
        <references count="4">
          <reference field="4294967294" count="1" selected="0">
            <x v="20"/>
          </reference>
          <reference field="0" count="1" selected="0">
            <x v="0"/>
          </reference>
          <reference field="4" count="1" selected="0">
            <x v="4"/>
          </reference>
          <reference field="33" count="1" selected="0">
            <x v="0"/>
          </reference>
        </references>
      </pivotArea>
    </format>
    <format dxfId="768">
      <pivotArea outline="0" fieldPosition="0">
        <references count="4">
          <reference field="4294967294" count="1" selected="0">
            <x v="26"/>
          </reference>
          <reference field="0" count="1" selected="0">
            <x v="0"/>
          </reference>
          <reference field="4" count="1" selected="0">
            <x v="4"/>
          </reference>
          <reference field="33" count="1" selected="0">
            <x v="0"/>
          </reference>
        </references>
      </pivotArea>
    </format>
    <format dxfId="767">
      <pivotArea outline="0" fieldPosition="0">
        <references count="4">
          <reference field="4294967294" count="1" selected="0">
            <x v="5"/>
          </reference>
          <reference field="0" count="1" selected="0">
            <x v="1"/>
          </reference>
          <reference field="4" count="1" selected="0">
            <x v="4"/>
          </reference>
          <reference field="33" count="1" selected="0">
            <x v="0"/>
          </reference>
        </references>
      </pivotArea>
    </format>
    <format dxfId="766">
      <pivotArea outline="0" fieldPosition="0">
        <references count="4">
          <reference field="4294967294" count="1" selected="0">
            <x v="5"/>
          </reference>
          <reference field="0" count="1" selected="0">
            <x v="1"/>
          </reference>
          <reference field="4" count="1" selected="0">
            <x v="7"/>
          </reference>
          <reference field="33" count="1" selected="0">
            <x v="1"/>
          </reference>
        </references>
      </pivotArea>
    </format>
    <format dxfId="765">
      <pivotArea outline="0" fieldPosition="0">
        <references count="4">
          <reference field="4294967294" count="1" selected="0">
            <x v="26"/>
          </reference>
          <reference field="0" count="1" selected="0">
            <x v="1"/>
          </reference>
          <reference field="4" count="1" selected="0">
            <x v="4"/>
          </reference>
          <reference field="33" count="1" selected="0">
            <x v="0"/>
          </reference>
        </references>
      </pivotArea>
    </format>
    <format dxfId="764">
      <pivotArea outline="0" fieldPosition="0">
        <references count="4">
          <reference field="4294967294" count="1" selected="0">
            <x v="29"/>
          </reference>
          <reference field="0" count="1" selected="0">
            <x v="1"/>
          </reference>
          <reference field="4" count="1" selected="0">
            <x v="4"/>
          </reference>
          <reference field="33" count="1" selected="0">
            <x v="0"/>
          </reference>
        </references>
      </pivotArea>
    </format>
    <format dxfId="763">
      <pivotArea outline="0" fieldPosition="0">
        <references count="4">
          <reference field="4294967294" count="1" selected="0">
            <x v="2"/>
          </reference>
          <reference field="0" count="1" selected="0">
            <x v="8"/>
          </reference>
          <reference field="4" count="1" selected="0">
            <x v="4"/>
          </reference>
          <reference field="33" count="1" selected="0">
            <x v="0"/>
          </reference>
        </references>
      </pivotArea>
    </format>
    <format dxfId="762">
      <pivotArea outline="0" fieldPosition="0">
        <references count="4">
          <reference field="4294967294" count="1" selected="0">
            <x v="8"/>
          </reference>
          <reference field="0" count="1" selected="0">
            <x v="8"/>
          </reference>
          <reference field="4" count="1" selected="0">
            <x v="4"/>
          </reference>
          <reference field="33" count="1" selected="0">
            <x v="0"/>
          </reference>
        </references>
      </pivotArea>
    </format>
    <format dxfId="761">
      <pivotArea outline="0" fieldPosition="0">
        <references count="4">
          <reference field="4294967294" count="1" selected="0">
            <x v="20"/>
          </reference>
          <reference field="0" count="1" selected="0">
            <x v="8"/>
          </reference>
          <reference field="4" count="1" selected="0">
            <x v="3"/>
          </reference>
          <reference field="33" count="1" selected="0">
            <x v="0"/>
          </reference>
        </references>
      </pivotArea>
    </format>
    <format dxfId="760">
      <pivotArea outline="0" fieldPosition="0">
        <references count="4">
          <reference field="4294967294" count="1" selected="0">
            <x v="26"/>
          </reference>
          <reference field="0" count="1" selected="0">
            <x v="8"/>
          </reference>
          <reference field="4" count="1" selected="0">
            <x v="3"/>
          </reference>
          <reference field="33" count="1" selected="0">
            <x v="0"/>
          </reference>
        </references>
      </pivotArea>
    </format>
    <format dxfId="759">
      <pivotArea outline="0" fieldPosition="0">
        <references count="4">
          <reference field="4294967294" count="1" selected="0">
            <x v="2"/>
          </reference>
          <reference field="0" count="1" selected="0">
            <x v="10"/>
          </reference>
          <reference field="4" count="1" selected="0">
            <x v="6"/>
          </reference>
          <reference field="33" count="1" selected="0">
            <x v="1"/>
          </reference>
        </references>
      </pivotArea>
    </format>
    <format dxfId="758">
      <pivotArea outline="0" fieldPosition="0">
        <references count="4">
          <reference field="4294967294" count="1" selected="0">
            <x v="2"/>
          </reference>
          <reference field="0" count="1" selected="0">
            <x v="10"/>
          </reference>
          <reference field="4" count="1" selected="0">
            <x v="9"/>
          </reference>
          <reference field="33" count="1" selected="0">
            <x v="1"/>
          </reference>
        </references>
      </pivotArea>
    </format>
    <format dxfId="757">
      <pivotArea outline="0" fieldPosition="0">
        <references count="4">
          <reference field="4294967294" count="1" selected="0">
            <x v="5"/>
          </reference>
          <reference field="0" count="1" selected="0">
            <x v="10"/>
          </reference>
          <reference field="4" count="1" selected="0">
            <x v="6"/>
          </reference>
          <reference field="33" count="1" selected="0">
            <x v="1"/>
          </reference>
        </references>
      </pivotArea>
    </format>
    <format dxfId="756">
      <pivotArea outline="0" fieldPosition="0">
        <references count="4">
          <reference field="4294967294" count="1" selected="0">
            <x v="5"/>
          </reference>
          <reference field="0" count="1" selected="0">
            <x v="10"/>
          </reference>
          <reference field="4" count="1" selected="0">
            <x v="9"/>
          </reference>
          <reference field="33" count="1" selected="0">
            <x v="1"/>
          </reference>
        </references>
      </pivotArea>
    </format>
    <format dxfId="755">
      <pivotArea outline="0" fieldPosition="0">
        <references count="4">
          <reference field="4294967294" count="1" selected="0">
            <x v="20"/>
          </reference>
          <reference field="0" count="1" selected="0">
            <x v="11"/>
          </reference>
          <reference field="4" count="1" selected="0">
            <x v="2"/>
          </reference>
          <reference field="33" count="1" selected="0">
            <x v="0"/>
          </reference>
        </references>
      </pivotArea>
    </format>
    <format dxfId="754">
      <pivotArea outline="0" fieldPosition="0">
        <references count="4">
          <reference field="4294967294" count="1" selected="0">
            <x v="23"/>
          </reference>
          <reference field="0" count="1" selected="0">
            <x v="11"/>
          </reference>
          <reference field="4" count="1" selected="0">
            <x v="2"/>
          </reference>
          <reference field="33" count="1" selected="0">
            <x v="0"/>
          </reference>
        </references>
      </pivotArea>
    </format>
    <format dxfId="753">
      <pivotArea outline="0" fieldPosition="0">
        <references count="4">
          <reference field="4294967294" count="1" selected="0">
            <x v="23"/>
          </reference>
          <reference field="0" count="1" selected="0">
            <x v="11"/>
          </reference>
          <reference field="4" count="1" selected="0">
            <x v="5"/>
          </reference>
          <reference field="33" count="1" selected="0">
            <x v="0"/>
          </reference>
        </references>
      </pivotArea>
    </format>
    <format dxfId="752">
      <pivotArea outline="0" fieldPosition="0">
        <references count="4">
          <reference field="4294967294" count="1" selected="0">
            <x v="26"/>
          </reference>
          <reference field="0" count="1" selected="0">
            <x v="11"/>
          </reference>
          <reference field="4" count="1" selected="0">
            <x v="5"/>
          </reference>
          <reference field="33" count="1" selected="0">
            <x v="0"/>
          </reference>
        </references>
      </pivotArea>
    </format>
    <format dxfId="751">
      <pivotArea outline="0" fieldPosition="0">
        <references count="4">
          <reference field="4294967294" count="1" selected="0">
            <x v="26"/>
          </reference>
          <reference field="0" count="1" selected="0">
            <x v="12"/>
          </reference>
          <reference field="4" count="1" selected="0">
            <x v="4"/>
          </reference>
          <reference field="33" count="1" selected="0">
            <x v="0"/>
          </reference>
        </references>
      </pivotArea>
    </format>
    <format dxfId="750">
      <pivotArea outline="0" fieldPosition="0">
        <references count="4">
          <reference field="4294967294" count="1" selected="0">
            <x v="29"/>
          </reference>
          <reference field="0" count="1" selected="0">
            <x v="12"/>
          </reference>
          <reference field="4" count="1" selected="0">
            <x v="4"/>
          </reference>
          <reference field="33" count="1" selected="0">
            <x v="0"/>
          </reference>
        </references>
      </pivotArea>
    </format>
    <format dxfId="749">
      <pivotArea outline="0" fieldPosition="0">
        <references count="4">
          <reference field="4294967294" count="1" selected="0">
            <x v="20"/>
          </reference>
          <reference field="0" count="1" selected="0">
            <x v="15"/>
          </reference>
          <reference field="4" count="1" selected="0">
            <x v="5"/>
          </reference>
          <reference field="33" count="1" selected="0">
            <x v="0"/>
          </reference>
        </references>
      </pivotArea>
    </format>
    <format dxfId="748">
      <pivotArea outline="0" fieldPosition="0">
        <references count="4">
          <reference field="4294967294" count="1" selected="0">
            <x v="23"/>
          </reference>
          <reference field="0" count="1" selected="0">
            <x v="15"/>
          </reference>
          <reference field="4" count="1" selected="0">
            <x v="5"/>
          </reference>
          <reference field="33" count="1" selected="0">
            <x v="0"/>
          </reference>
        </references>
      </pivotArea>
    </format>
    <format dxfId="747">
      <pivotArea outline="0" fieldPosition="0">
        <references count="2">
          <reference field="4294967294" count="1" selected="0">
            <x v="5"/>
          </reference>
          <reference field="0" count="1" selected="0">
            <x v="0"/>
          </reference>
        </references>
      </pivotArea>
    </format>
    <format dxfId="746">
      <pivotArea outline="0" fieldPosition="0">
        <references count="2">
          <reference field="4294967294" count="1" selected="0">
            <x v="8"/>
          </reference>
          <reference field="0" count="1" selected="0">
            <x v="0"/>
          </reference>
        </references>
      </pivotArea>
    </format>
    <format dxfId="745">
      <pivotArea outline="0" fieldPosition="0">
        <references count="4">
          <reference field="4294967294" count="1" selected="0">
            <x v="8"/>
          </reference>
          <reference field="0" count="1" selected="0">
            <x v="0"/>
          </reference>
          <reference field="4" count="1" selected="0">
            <x v="0"/>
          </reference>
          <reference field="33" count="1" selected="0">
            <x v="0"/>
          </reference>
        </references>
      </pivotArea>
    </format>
    <format dxfId="744">
      <pivotArea outline="0" fieldPosition="0">
        <references count="4">
          <reference field="4294967294" count="1" selected="0">
            <x v="2"/>
          </reference>
          <reference field="0" count="1" selected="0">
            <x v="1"/>
          </reference>
          <reference field="4" count="1" selected="0">
            <x v="0"/>
          </reference>
          <reference field="33" count="1" selected="0">
            <x v="0"/>
          </reference>
        </references>
      </pivotArea>
    </format>
    <format dxfId="743">
      <pivotArea outline="0" fieldPosition="0">
        <references count="4">
          <reference field="4294967294" count="1" selected="0">
            <x v="5"/>
          </reference>
          <reference field="0" count="1" selected="0">
            <x v="1"/>
          </reference>
          <reference field="4" count="1" selected="0">
            <x v="0"/>
          </reference>
          <reference field="33" count="1" selected="0">
            <x v="0"/>
          </reference>
        </references>
      </pivotArea>
    </format>
    <format dxfId="742">
      <pivotArea outline="0" fieldPosition="0">
        <references count="4">
          <reference field="4294967294" count="1" selected="0">
            <x v="8"/>
          </reference>
          <reference field="0" count="1" selected="0">
            <x v="1"/>
          </reference>
          <reference field="4" count="1" selected="0">
            <x v="0"/>
          </reference>
          <reference field="33" count="1" selected="0">
            <x v="0"/>
          </reference>
        </references>
      </pivotArea>
    </format>
    <format dxfId="741">
      <pivotArea outline="0" fieldPosition="0">
        <references count="4">
          <reference field="4294967294" count="1" selected="0">
            <x v="11"/>
          </reference>
          <reference field="0" count="1" selected="0">
            <x v="1"/>
          </reference>
          <reference field="4" count="1" selected="0">
            <x v="0"/>
          </reference>
          <reference field="33" count="1" selected="0">
            <x v="0"/>
          </reference>
        </references>
      </pivotArea>
    </format>
    <format dxfId="740">
      <pivotArea outline="0" fieldPosition="0">
        <references count="4">
          <reference field="4294967294" count="1" selected="0">
            <x v="14"/>
          </reference>
          <reference field="0" count="1" selected="0">
            <x v="1"/>
          </reference>
          <reference field="4" count="1" selected="0">
            <x v="0"/>
          </reference>
          <reference field="33" count="1" selected="0">
            <x v="0"/>
          </reference>
        </references>
      </pivotArea>
    </format>
    <format dxfId="739">
      <pivotArea type="all" dataOnly="0" outline="0" fieldPosition="0"/>
    </format>
    <format dxfId="738">
      <pivotArea outline="0" fieldPosition="0">
        <references count="4">
          <reference field="4294967294" count="5" selected="0">
            <x v="5"/>
            <x v="6"/>
            <x v="7"/>
            <x v="8"/>
            <x v="9"/>
          </reference>
          <reference field="0" count="1" selected="0">
            <x v="0"/>
          </reference>
          <reference field="4" count="6" selected="0">
            <x v="0"/>
            <x v="1"/>
            <x v="2"/>
            <x v="3"/>
            <x v="4"/>
            <x v="5"/>
          </reference>
          <reference field="33" count="1" selected="0">
            <x v="0"/>
          </reference>
        </references>
      </pivotArea>
    </format>
    <format dxfId="737">
      <pivotArea type="all" dataOnly="0" outline="0" fieldPosition="0"/>
    </format>
    <format dxfId="736">
      <pivotArea outline="0" fieldPosition="0">
        <references count="2">
          <reference field="4294967294" count="1" selected="0">
            <x v="2"/>
          </reference>
          <reference field="0" count="1" selected="0">
            <x v="0"/>
          </reference>
        </references>
      </pivotArea>
    </format>
    <format dxfId="735">
      <pivotArea outline="0" fieldPosition="0">
        <references count="2">
          <reference field="4294967294" count="3" selected="0">
            <x v="0"/>
            <x v="1"/>
            <x v="2"/>
          </reference>
          <reference field="0" count="1" selected="0">
            <x v="0"/>
          </reference>
        </references>
      </pivotArea>
    </format>
    <format dxfId="734">
      <pivotArea dataOnly="0" labelOnly="1" outline="0" fieldPosition="0">
        <references count="2">
          <reference field="4294967294" count="3">
            <x v="0"/>
            <x v="1"/>
            <x v="2"/>
          </reference>
          <reference field="0" count="1" selected="0">
            <x v="0"/>
          </reference>
        </references>
      </pivotArea>
    </format>
    <format dxfId="733">
      <pivotArea outline="0" fieldPosition="0">
        <references count="4">
          <reference field="4294967294" count="1" selected="0">
            <x v="2"/>
          </reference>
          <reference field="0" count="1" selected="0">
            <x v="0"/>
          </reference>
          <reference field="4" count="2" selected="0">
            <x v="8"/>
            <x v="9"/>
          </reference>
          <reference field="33" count="1" selected="0">
            <x v="1"/>
          </reference>
        </references>
      </pivotArea>
    </format>
    <format dxfId="732">
      <pivotArea outline="0" fieldPosition="0">
        <references count="3">
          <reference field="4294967294" count="1" selected="0">
            <x v="2"/>
          </reference>
          <reference field="0" count="1" selected="0">
            <x v="0"/>
          </reference>
          <reference field="33" count="1" selected="0" defaultSubtotal="1">
            <x v="1"/>
          </reference>
        </references>
      </pivotArea>
    </format>
    <format dxfId="731">
      <pivotArea outline="0" fieldPosition="0">
        <references count="3">
          <reference field="4294967294" count="1" selected="0">
            <x v="2"/>
          </reference>
          <reference field="0" count="1" selected="0">
            <x v="0"/>
          </reference>
          <reference field="33" count="1" selected="0" defaultSubtotal="1">
            <x v="2"/>
          </reference>
        </references>
      </pivotArea>
    </format>
    <format dxfId="730">
      <pivotArea outline="0" fieldPosition="0">
        <references count="4">
          <reference field="4294967294" count="1" selected="0">
            <x v="20"/>
          </reference>
          <reference field="0" count="1" selected="0">
            <x v="0"/>
          </reference>
          <reference field="4" count="1" selected="0">
            <x v="4"/>
          </reference>
          <reference field="33" count="1" selected="0">
            <x v="0"/>
          </reference>
        </references>
      </pivotArea>
    </format>
    <format dxfId="729">
      <pivotArea outline="0" fieldPosition="0">
        <references count="4">
          <reference field="4294967294" count="1" selected="0">
            <x v="26"/>
          </reference>
          <reference field="0" count="1" selected="0">
            <x v="0"/>
          </reference>
          <reference field="4" count="1" selected="0">
            <x v="4"/>
          </reference>
          <reference field="33" count="1" selected="0">
            <x v="0"/>
          </reference>
        </references>
      </pivotArea>
    </format>
    <format dxfId="728">
      <pivotArea outline="0" fieldPosition="0">
        <references count="4">
          <reference field="4294967294" count="3" selected="0">
            <x v="18"/>
            <x v="19"/>
            <x v="20"/>
          </reference>
          <reference field="0" count="1" selected="0">
            <x v="15"/>
          </reference>
          <reference field="4" count="1" selected="0">
            <x v="9"/>
          </reference>
          <reference field="33" count="1" selected="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13" dataOnRows="1" applyNumberFormats="0" applyBorderFormats="0" applyFontFormats="0" applyPatternFormats="0" applyAlignmentFormats="0" applyWidthHeightFormats="1" dataCaption="Data" updatedVersion="3" asteriskTotals="1" showMemberPropertyTips="0" useAutoFormatting="1" rowGrandTotals="0" colGrandTotals="0" itemPrintTitles="1" createdVersion="1" indent="0" compact="0" compactData="0" gridDropZones="1">
  <location ref="A3:T133" firstHeaderRow="1" firstDataRow="3" firstDataCol="2"/>
  <pivotFields count="73">
    <pivotField axis="axisRow" compact="0" outline="0" subtotalTop="0" showAll="0" includeNewItemsInFilter="1" sortType="ascending">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outline="0" subtotalTop="0" showAll="0" includeNewItemsInFilter="1" defaultSubtotal="0">
      <items count="16">
        <item x="0"/>
        <item x="1"/>
        <item x="2"/>
        <item x="3"/>
        <item x="4"/>
        <item x="5"/>
        <item x="11"/>
        <item x="6"/>
        <item x="7"/>
        <item x="8"/>
        <item x="9"/>
        <item x="10"/>
        <item x="12"/>
        <item m="1" x="15"/>
        <item m="1" x="14"/>
        <item x="13"/>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6">
        <item n="Four-Year" x="2"/>
        <item n="Two-Year" x="1"/>
        <item n="Technical" x="3"/>
        <item h="1" x="0"/>
        <item x="4"/>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32"/>
    <field x="3"/>
  </colFields>
  <colItems count="18">
    <i>
      <x/>
      <x/>
    </i>
    <i r="1">
      <x v="1"/>
    </i>
    <i r="1">
      <x v="2"/>
    </i>
    <i r="1">
      <x v="3"/>
    </i>
    <i r="1">
      <x v="4"/>
    </i>
    <i r="1">
      <x v="5"/>
    </i>
    <i r="1">
      <x v="12"/>
    </i>
    <i t="default">
      <x/>
    </i>
    <i>
      <x v="1"/>
      <x v="6"/>
    </i>
    <i r="1">
      <x v="7"/>
    </i>
    <i r="1">
      <x v="8"/>
    </i>
    <i r="1">
      <x v="9"/>
    </i>
    <i t="default">
      <x v="1"/>
    </i>
    <i>
      <x v="2"/>
      <x v="10"/>
    </i>
    <i r="1">
      <x v="11"/>
    </i>
    <i t="default">
      <x v="2"/>
    </i>
    <i>
      <x v="4"/>
      <x v="15"/>
    </i>
    <i t="default">
      <x v="4"/>
    </i>
  </colItems>
  <dataFields count="8">
    <dataField name="Sum of OLD-Tot UG SCH Calc" fld="4" baseField="0" baseItem="0"/>
    <dataField name="Sum of NEW-Tot UG SCH Calc" fld="5" baseField="0" baseItem="0"/>
    <dataField name="Sum of Old UG E-Learning" fld="69" baseField="0" baseItem="0"/>
    <dataField name="Sum of New UG E-Learning" fld="71" baseField="0" baseItem="0"/>
    <dataField name="Sum of Old-Tot G SCH Calc" fld="18" baseField="0" baseItem="0"/>
    <dataField name="Sum of New-Tot G SCH Calc" fld="19" baseField="0" baseItem="0"/>
    <dataField name="Sum of Old G E-Learning" fld="70" baseField="0" baseItem="0"/>
    <dataField name="Sum of New G E-Learning" fld="72" baseField="0" baseItem="0"/>
  </dataFields>
  <formats count="172">
    <format dxfId="727">
      <pivotArea field="3" type="button" dataOnly="0" labelOnly="1" outline="0" axis="axisCol" fieldPosition="1"/>
    </format>
    <format dxfId="726">
      <pivotArea type="topRight" dataOnly="0" labelOnly="1" outline="0" fieldPosition="0"/>
    </format>
    <format dxfId="725">
      <pivotArea dataOnly="0" labelOnly="1" grandCol="1" outline="0" fieldPosition="0"/>
    </format>
    <format dxfId="724">
      <pivotArea dataOnly="0" labelOnly="1" outline="0" offset="IV256" fieldPosition="0">
        <references count="1">
          <reference field="0" count="1">
            <x v="3"/>
          </reference>
        </references>
      </pivotArea>
    </format>
    <format dxfId="723">
      <pivotArea dataOnly="0" labelOnly="1" outline="0" offset="IV256" fieldPosition="0">
        <references count="1">
          <reference field="0" count="1">
            <x v="4"/>
          </reference>
        </references>
      </pivotArea>
    </format>
    <format dxfId="722">
      <pivotArea dataOnly="0" labelOnly="1" outline="0" offset="IV256" fieldPosition="0">
        <references count="1">
          <reference field="0" count="1">
            <x v="5"/>
          </reference>
        </references>
      </pivotArea>
    </format>
    <format dxfId="721">
      <pivotArea dataOnly="0" labelOnly="1" outline="0" offset="IV256" fieldPosition="0">
        <references count="1">
          <reference field="0" count="1">
            <x v="7"/>
          </reference>
        </references>
      </pivotArea>
    </format>
    <format dxfId="720">
      <pivotArea dataOnly="0" labelOnly="1" outline="0" offset="IV256" fieldPosition="0">
        <references count="1">
          <reference field="0" count="1">
            <x v="8"/>
          </reference>
        </references>
      </pivotArea>
    </format>
    <format dxfId="719">
      <pivotArea dataOnly="0" labelOnly="1" outline="0" offset="IV256" fieldPosition="0">
        <references count="1">
          <reference field="0" count="1">
            <x v="9"/>
          </reference>
        </references>
      </pivotArea>
    </format>
    <format dxfId="718">
      <pivotArea dataOnly="0" labelOnly="1" outline="0" offset="IV256" fieldPosition="0">
        <references count="1">
          <reference field="0" count="1">
            <x v="10"/>
          </reference>
        </references>
      </pivotArea>
    </format>
    <format dxfId="717">
      <pivotArea dataOnly="0" labelOnly="1" outline="0" offset="IV256" fieldPosition="0">
        <references count="1">
          <reference field="0" count="1">
            <x v="11"/>
          </reference>
        </references>
      </pivotArea>
    </format>
    <format dxfId="716">
      <pivotArea dataOnly="0" labelOnly="1" outline="0" offset="IV256" fieldPosition="0">
        <references count="1">
          <reference field="0" count="1">
            <x v="12"/>
          </reference>
        </references>
      </pivotArea>
    </format>
    <format dxfId="715">
      <pivotArea dataOnly="0" labelOnly="1" outline="0" offset="IV256" fieldPosition="0">
        <references count="1">
          <reference field="0" count="1">
            <x v="13"/>
          </reference>
        </references>
      </pivotArea>
    </format>
    <format dxfId="714">
      <pivotArea type="origin" dataOnly="0" labelOnly="1" outline="0" offset="A2:B2" fieldPosition="0"/>
    </format>
    <format dxfId="713">
      <pivotArea dataOnly="0" labelOnly="1" outline="0" fieldPosition="0">
        <references count="1">
          <reference field="0" count="0"/>
        </references>
      </pivotArea>
    </format>
    <format dxfId="712">
      <pivotArea dataOnly="0" labelOnly="1" outline="0" offset="IV1" fieldPosition="0">
        <references count="1">
          <reference field="0" count="1">
            <x v="0"/>
          </reference>
        </references>
      </pivotArea>
    </format>
    <format dxfId="711">
      <pivotArea type="origin" dataOnly="0" labelOnly="1" outline="0" fieldPosition="0"/>
    </format>
    <format dxfId="710">
      <pivotArea field="0" type="button" dataOnly="0" labelOnly="1" outline="0" axis="axisRow" fieldPosition="0"/>
    </format>
    <format dxfId="709">
      <pivotArea dataOnly="0" labelOnly="1" outline="0" offset="IV5:IV6" fieldPosition="0">
        <references count="1">
          <reference field="0" count="1">
            <x v="1"/>
          </reference>
        </references>
      </pivotArea>
    </format>
    <format dxfId="708">
      <pivotArea dataOnly="0" labelOnly="1" outline="0" offset="IV7:IV8" fieldPosition="0">
        <references count="1">
          <reference field="0" count="1">
            <x v="1"/>
          </reference>
        </references>
      </pivotArea>
    </format>
    <format dxfId="707">
      <pivotArea dataOnly="0" labelOnly="1" outline="0" offset="IV9:IV10" fieldPosition="0">
        <references count="1">
          <reference field="0" count="1">
            <x v="1"/>
          </reference>
        </references>
      </pivotArea>
    </format>
    <format dxfId="706">
      <pivotArea dataOnly="0" labelOnly="1" outline="0" offset="IV11:IV12" fieldPosition="0">
        <references count="1">
          <reference field="0" count="1">
            <x v="1"/>
          </reference>
        </references>
      </pivotArea>
    </format>
    <format dxfId="705">
      <pivotArea dataOnly="0" labelOnly="1" outline="0" offset="IV256" fieldPosition="0">
        <references count="1">
          <reference field="0" count="1">
            <x v="0"/>
          </reference>
        </references>
      </pivotArea>
    </format>
    <format dxfId="704">
      <pivotArea dataOnly="0" labelOnly="1" grandCol="1" outline="0" offset="IV256" fieldPosition="0"/>
    </format>
    <format dxfId="703">
      <pivotArea dataOnly="0" labelOnly="1" outline="0" offset="IV256" fieldPosition="0">
        <references count="1">
          <reference field="0" count="1">
            <x v="1"/>
          </reference>
        </references>
      </pivotArea>
    </format>
    <format dxfId="702">
      <pivotArea dataOnly="0" labelOnly="1" outline="0" offset="IV1" fieldPosition="0">
        <references count="1">
          <reference field="0" count="1">
            <x v="0"/>
          </reference>
        </references>
      </pivotArea>
    </format>
    <format dxfId="701">
      <pivotArea dataOnly="0" labelOnly="1" outline="0" offset="IV1" fieldPosition="0">
        <references count="1">
          <reference field="0" count="1">
            <x v="1"/>
          </reference>
        </references>
      </pivotArea>
    </format>
    <format dxfId="700">
      <pivotArea dataOnly="0" labelOnly="1" outline="0" offset="IV1" fieldPosition="0">
        <references count="1">
          <reference field="0" count="1">
            <x v="3"/>
          </reference>
        </references>
      </pivotArea>
    </format>
    <format dxfId="699">
      <pivotArea dataOnly="0" labelOnly="1" outline="0" offset="IV1" fieldPosition="0">
        <references count="1">
          <reference field="0" count="1">
            <x v="4"/>
          </reference>
        </references>
      </pivotArea>
    </format>
    <format dxfId="698">
      <pivotArea dataOnly="0" labelOnly="1" outline="0" offset="IV256" fieldPosition="0">
        <references count="1">
          <reference field="0" count="1">
            <x v="15"/>
          </reference>
        </references>
      </pivotArea>
    </format>
    <format dxfId="697">
      <pivotArea outline="0" fieldPosition="0">
        <references count="1">
          <reference field="0" count="1" selected="0">
            <x v="0"/>
          </reference>
        </references>
      </pivotArea>
    </format>
    <format dxfId="696">
      <pivotArea dataOnly="0" labelOnly="1" outline="0" fieldPosition="0">
        <references count="1">
          <reference field="0" count="1">
            <x v="0"/>
          </reference>
        </references>
      </pivotArea>
    </format>
    <format dxfId="695">
      <pivotArea dataOnly="0" labelOnly="1" outline="0" fieldPosition="0">
        <references count="2">
          <reference field="4294967294" count="0"/>
          <reference field="0" count="1" selected="0">
            <x v="0"/>
          </reference>
        </references>
      </pivotArea>
    </format>
    <format dxfId="694">
      <pivotArea type="all" dataOnly="0" outline="0" fieldPosition="0"/>
    </format>
    <format dxfId="693">
      <pivotArea outline="0" fieldPosition="0"/>
    </format>
    <format dxfId="692">
      <pivotArea outline="0" fieldPosition="0">
        <references count="3">
          <reference field="4294967294" count="1" selected="0">
            <x v="0"/>
          </reference>
          <reference field="0" count="1" selected="0">
            <x v="0"/>
          </reference>
          <reference field="32" count="2" selected="0" defaultSubtotal="1">
            <x v="0"/>
            <x v="1"/>
          </reference>
        </references>
      </pivotArea>
    </format>
    <format dxfId="691">
      <pivotArea outline="0" fieldPosition="0">
        <references count="3">
          <reference field="4294967294" count="1" selected="0">
            <x v="0"/>
          </reference>
          <reference field="0" count="1" selected="0">
            <x v="1"/>
          </reference>
          <reference field="32" count="2" selected="0" defaultSubtotal="1">
            <x v="0"/>
            <x v="1"/>
          </reference>
        </references>
      </pivotArea>
    </format>
    <format dxfId="690">
      <pivotArea outline="0" fieldPosition="0">
        <references count="3">
          <reference field="4294967294" count="1" selected="0">
            <x v="0"/>
          </reference>
          <reference field="0" count="1" selected="0">
            <x v="3"/>
          </reference>
          <reference field="32" count="2" selected="0" defaultSubtotal="1">
            <x v="0"/>
            <x v="1"/>
          </reference>
        </references>
      </pivotArea>
    </format>
    <format dxfId="689">
      <pivotArea outline="0" fieldPosition="0">
        <references count="2">
          <reference field="4294967294" count="1" selected="0">
            <x v="0"/>
          </reference>
          <reference field="0" count="1" selected="0">
            <x v="4"/>
          </reference>
        </references>
      </pivotArea>
    </format>
    <format dxfId="688">
      <pivotArea outline="0" fieldPosition="0">
        <references count="2">
          <reference field="4294967294" count="1" selected="0">
            <x v="0"/>
          </reference>
          <reference field="0" count="1" selected="0">
            <x v="5"/>
          </reference>
        </references>
      </pivotArea>
    </format>
    <format dxfId="687">
      <pivotArea outline="0" fieldPosition="0">
        <references count="2">
          <reference field="4294967294" count="1" selected="0">
            <x v="0"/>
          </reference>
          <reference field="0" count="1" selected="0">
            <x v="7"/>
          </reference>
        </references>
      </pivotArea>
    </format>
    <format dxfId="686">
      <pivotArea outline="0" fieldPosition="0">
        <references count="3">
          <reference field="4294967294" count="1" selected="0">
            <x v="0"/>
          </reference>
          <reference field="0" count="1" selected="0">
            <x v="8"/>
          </reference>
          <reference field="32" count="2" selected="0" defaultSubtotal="1">
            <x v="0"/>
            <x v="1"/>
          </reference>
        </references>
      </pivotArea>
    </format>
    <format dxfId="685">
      <pivotArea outline="0" fieldPosition="0">
        <references count="3">
          <reference field="4294967294" count="1" selected="0">
            <x v="0"/>
          </reference>
          <reference field="0" count="1" selected="0">
            <x v="9"/>
          </reference>
          <reference field="32" count="2" selected="0" defaultSubtotal="1">
            <x v="0"/>
            <x v="1"/>
          </reference>
        </references>
      </pivotArea>
    </format>
    <format dxfId="684">
      <pivotArea outline="0" fieldPosition="0">
        <references count="3">
          <reference field="4294967294" count="1" selected="0">
            <x v="0"/>
          </reference>
          <reference field="0" count="1" selected="0">
            <x v="10"/>
          </reference>
          <reference field="32" count="2" selected="0" defaultSubtotal="1">
            <x v="0"/>
            <x v="1"/>
          </reference>
        </references>
      </pivotArea>
    </format>
    <format dxfId="683">
      <pivotArea outline="0" fieldPosition="0">
        <references count="3">
          <reference field="4294967294" count="1" selected="0">
            <x v="0"/>
          </reference>
          <reference field="0" count="1" selected="0">
            <x v="13"/>
          </reference>
          <reference field="32" count="2" selected="0" defaultSubtotal="1">
            <x v="0"/>
            <x v="1"/>
          </reference>
        </references>
      </pivotArea>
    </format>
    <format dxfId="682">
      <pivotArea outline="0" fieldPosition="0">
        <references count="3">
          <reference field="4294967294" count="1" selected="0">
            <x v="0"/>
          </reference>
          <reference field="0" count="1" selected="0">
            <x v="15"/>
          </reference>
          <reference field="32" count="2" selected="0" defaultSubtotal="1">
            <x v="0"/>
            <x v="1"/>
          </reference>
        </references>
      </pivotArea>
    </format>
    <format dxfId="681">
      <pivotArea outline="0" fieldPosition="0">
        <references count="3">
          <reference field="4294967294" count="1" selected="0">
            <x v="1"/>
          </reference>
          <reference field="0" count="1" selected="0">
            <x v="0"/>
          </reference>
          <reference field="32" count="2" selected="0" defaultSubtotal="1">
            <x v="0"/>
            <x v="1"/>
          </reference>
        </references>
      </pivotArea>
    </format>
    <format dxfId="680">
      <pivotArea outline="0" fieldPosition="0">
        <references count="3">
          <reference field="4294967294" count="1" selected="0">
            <x v="1"/>
          </reference>
          <reference field="0" count="1" selected="0">
            <x v="1"/>
          </reference>
          <reference field="32" count="2" selected="0" defaultSubtotal="1">
            <x v="0"/>
            <x v="1"/>
          </reference>
        </references>
      </pivotArea>
    </format>
    <format dxfId="679">
      <pivotArea outline="0" fieldPosition="0">
        <references count="3">
          <reference field="4294967294" count="1" selected="0">
            <x v="1"/>
          </reference>
          <reference field="0" count="1" selected="0">
            <x v="3"/>
          </reference>
          <reference field="32" count="2" selected="0" defaultSubtotal="1">
            <x v="0"/>
            <x v="1"/>
          </reference>
        </references>
      </pivotArea>
    </format>
    <format dxfId="678">
      <pivotArea outline="0" fieldPosition="0">
        <references count="2">
          <reference field="4294967294" count="1" selected="0">
            <x v="1"/>
          </reference>
          <reference field="0" count="1" selected="0">
            <x v="4"/>
          </reference>
        </references>
      </pivotArea>
    </format>
    <format dxfId="677">
      <pivotArea outline="0" fieldPosition="0">
        <references count="2">
          <reference field="4294967294" count="1" selected="0">
            <x v="1"/>
          </reference>
          <reference field="0" count="1" selected="0">
            <x v="5"/>
          </reference>
        </references>
      </pivotArea>
    </format>
    <format dxfId="676">
      <pivotArea outline="0" fieldPosition="0">
        <references count="3">
          <reference field="4294967294" count="1" selected="0">
            <x v="1"/>
          </reference>
          <reference field="0" count="1" selected="0">
            <x v="7"/>
          </reference>
          <reference field="32" count="2" selected="0" defaultSubtotal="1">
            <x v="0"/>
            <x v="1"/>
          </reference>
        </references>
      </pivotArea>
    </format>
    <format dxfId="675">
      <pivotArea outline="0" fieldPosition="0">
        <references count="3">
          <reference field="4294967294" count="1" selected="0">
            <x v="1"/>
          </reference>
          <reference field="0" count="1" selected="0">
            <x v="8"/>
          </reference>
          <reference field="32" count="2" selected="0" defaultSubtotal="1">
            <x v="0"/>
            <x v="1"/>
          </reference>
        </references>
      </pivotArea>
    </format>
    <format dxfId="674">
      <pivotArea outline="0" fieldPosition="0">
        <references count="3">
          <reference field="4294967294" count="1" selected="0">
            <x v="1"/>
          </reference>
          <reference field="0" count="1" selected="0">
            <x v="9"/>
          </reference>
          <reference field="32" count="2" selected="0" defaultSubtotal="1">
            <x v="0"/>
            <x v="1"/>
          </reference>
        </references>
      </pivotArea>
    </format>
    <format dxfId="673">
      <pivotArea outline="0" fieldPosition="0">
        <references count="3">
          <reference field="4294967294" count="1" selected="0">
            <x v="1"/>
          </reference>
          <reference field="0" count="1" selected="0">
            <x v="10"/>
          </reference>
          <reference field="32" count="2" selected="0" defaultSubtotal="1">
            <x v="0"/>
            <x v="1"/>
          </reference>
        </references>
      </pivotArea>
    </format>
    <format dxfId="672">
      <pivotArea outline="0" fieldPosition="0">
        <references count="3">
          <reference field="4294967294" count="1" selected="0">
            <x v="1"/>
          </reference>
          <reference field="0" count="1" selected="0">
            <x v="13"/>
          </reference>
          <reference field="32" count="2" selected="0" defaultSubtotal="1">
            <x v="0"/>
            <x v="1"/>
          </reference>
        </references>
      </pivotArea>
    </format>
    <format dxfId="671">
      <pivotArea outline="0" fieldPosition="0">
        <references count="3">
          <reference field="4294967294" count="1" selected="0">
            <x v="1"/>
          </reference>
          <reference field="0" count="1" selected="0">
            <x v="15"/>
          </reference>
          <reference field="32" count="2" selected="0" defaultSubtotal="1">
            <x v="0"/>
            <x v="1"/>
          </reference>
        </references>
      </pivotArea>
    </format>
    <format dxfId="670">
      <pivotArea outline="0" fieldPosition="0">
        <references count="3">
          <reference field="4294967294" count="1" selected="0">
            <x v="4"/>
          </reference>
          <reference field="0" count="1" selected="0">
            <x v="0"/>
          </reference>
          <reference field="32" count="2" selected="0" defaultSubtotal="1">
            <x v="0"/>
            <x v="1"/>
          </reference>
        </references>
      </pivotArea>
    </format>
    <format dxfId="669">
      <pivotArea outline="0" fieldPosition="0">
        <references count="3">
          <reference field="4294967294" count="1" selected="0">
            <x v="4"/>
          </reference>
          <reference field="0" count="1" selected="0">
            <x v="1"/>
          </reference>
          <reference field="32" count="1" selected="0" defaultSubtotal="1">
            <x v="0"/>
          </reference>
        </references>
      </pivotArea>
    </format>
    <format dxfId="668">
      <pivotArea outline="0" fieldPosition="0">
        <references count="3">
          <reference field="4294967294" count="1" selected="0">
            <x v="4"/>
          </reference>
          <reference field="0" count="1" selected="0">
            <x v="3"/>
          </reference>
          <reference field="32" count="1" selected="0" defaultSubtotal="1">
            <x v="0"/>
          </reference>
        </references>
      </pivotArea>
    </format>
    <format dxfId="667">
      <pivotArea outline="0" fieldPosition="0">
        <references count="3">
          <reference field="4294967294" count="1" selected="0">
            <x v="4"/>
          </reference>
          <reference field="0" count="1" selected="0">
            <x v="4"/>
          </reference>
          <reference field="32" count="1" selected="0" defaultSubtotal="1">
            <x v="0"/>
          </reference>
        </references>
      </pivotArea>
    </format>
    <format dxfId="666">
      <pivotArea outline="0" fieldPosition="0">
        <references count="3">
          <reference field="4294967294" count="1" selected="0">
            <x v="4"/>
          </reference>
          <reference field="0" count="1" selected="0">
            <x v="5"/>
          </reference>
          <reference field="32" count="1" selected="0" defaultSubtotal="1">
            <x v="0"/>
          </reference>
        </references>
      </pivotArea>
    </format>
    <format dxfId="665">
      <pivotArea outline="0" fieldPosition="0">
        <references count="3">
          <reference field="4294967294" count="1" selected="0">
            <x v="4"/>
          </reference>
          <reference field="0" count="1" selected="0">
            <x v="7"/>
          </reference>
          <reference field="32" count="1" selected="0" defaultSubtotal="1">
            <x v="0"/>
          </reference>
        </references>
      </pivotArea>
    </format>
    <format dxfId="664">
      <pivotArea outline="0" fieldPosition="0">
        <references count="3">
          <reference field="4294967294" count="1" selected="0">
            <x v="4"/>
          </reference>
          <reference field="0" count="1" selected="0">
            <x v="8"/>
          </reference>
          <reference field="32" count="1" selected="0" defaultSubtotal="1">
            <x v="0"/>
          </reference>
        </references>
      </pivotArea>
    </format>
    <format dxfId="663">
      <pivotArea outline="0" fieldPosition="0">
        <references count="3">
          <reference field="4294967294" count="1" selected="0">
            <x v="4"/>
          </reference>
          <reference field="0" count="1" selected="0">
            <x v="9"/>
          </reference>
          <reference field="32" count="1" selected="0" defaultSubtotal="1">
            <x v="0"/>
          </reference>
        </references>
      </pivotArea>
    </format>
    <format dxfId="662">
      <pivotArea outline="0" fieldPosition="0">
        <references count="3">
          <reference field="4294967294" count="1" selected="0">
            <x v="4"/>
          </reference>
          <reference field="0" count="1" selected="0">
            <x v="10"/>
          </reference>
          <reference field="32" count="1" selected="0" defaultSubtotal="1">
            <x v="0"/>
          </reference>
        </references>
      </pivotArea>
    </format>
    <format dxfId="661">
      <pivotArea outline="0" fieldPosition="0">
        <references count="3">
          <reference field="4294967294" count="1" selected="0">
            <x v="4"/>
          </reference>
          <reference field="0" count="1" selected="0">
            <x v="13"/>
          </reference>
          <reference field="32" count="1" selected="0" defaultSubtotal="1">
            <x v="0"/>
          </reference>
        </references>
      </pivotArea>
    </format>
    <format dxfId="660">
      <pivotArea outline="0" fieldPosition="0">
        <references count="3">
          <reference field="4294967294" count="1" selected="0">
            <x v="4"/>
          </reference>
          <reference field="0" count="1" selected="0">
            <x v="15"/>
          </reference>
          <reference field="32" count="1" selected="0" defaultSubtotal="1">
            <x v="0"/>
          </reference>
        </references>
      </pivotArea>
    </format>
    <format dxfId="659">
      <pivotArea outline="0" fieldPosition="0">
        <references count="3">
          <reference field="4294967294" count="1" selected="0">
            <x v="5"/>
          </reference>
          <reference field="0" count="1" selected="0">
            <x v="15"/>
          </reference>
          <reference field="32" count="1" selected="0" defaultSubtotal="1">
            <x v="0"/>
          </reference>
        </references>
      </pivotArea>
    </format>
    <format dxfId="658">
      <pivotArea outline="0" fieldPosition="0">
        <references count="3">
          <reference field="4294967294" count="1" selected="0">
            <x v="5"/>
          </reference>
          <reference field="0" count="1" selected="0">
            <x v="13"/>
          </reference>
          <reference field="32" count="1" selected="0" defaultSubtotal="1">
            <x v="0"/>
          </reference>
        </references>
      </pivotArea>
    </format>
    <format dxfId="657">
      <pivotArea outline="0" fieldPosition="0">
        <references count="3">
          <reference field="4294967294" count="1" selected="0">
            <x v="5"/>
          </reference>
          <reference field="0" count="1" selected="0">
            <x v="10"/>
          </reference>
          <reference field="32" count="1" selected="0" defaultSubtotal="1">
            <x v="0"/>
          </reference>
        </references>
      </pivotArea>
    </format>
    <format dxfId="656">
      <pivotArea outline="0" fieldPosition="0">
        <references count="3">
          <reference field="4294967294" count="1" selected="0">
            <x v="5"/>
          </reference>
          <reference field="0" count="1" selected="0">
            <x v="9"/>
          </reference>
          <reference field="32" count="1" selected="0" defaultSubtotal="1">
            <x v="0"/>
          </reference>
        </references>
      </pivotArea>
    </format>
    <format dxfId="655">
      <pivotArea outline="0" fieldPosition="0">
        <references count="3">
          <reference field="4294967294" count="1" selected="0">
            <x v="5"/>
          </reference>
          <reference field="0" count="1" selected="0">
            <x v="8"/>
          </reference>
          <reference field="32" count="1" selected="0" defaultSubtotal="1">
            <x v="0"/>
          </reference>
        </references>
      </pivotArea>
    </format>
    <format dxfId="654">
      <pivotArea outline="0" fieldPosition="0">
        <references count="3">
          <reference field="4294967294" count="1" selected="0">
            <x v="5"/>
          </reference>
          <reference field="0" count="1" selected="0">
            <x v="7"/>
          </reference>
          <reference field="32" count="1" selected="0" defaultSubtotal="1">
            <x v="0"/>
          </reference>
        </references>
      </pivotArea>
    </format>
    <format dxfId="653">
      <pivotArea outline="0" fieldPosition="0">
        <references count="3">
          <reference field="4294967294" count="1" selected="0">
            <x v="5"/>
          </reference>
          <reference field="0" count="1" selected="0">
            <x v="5"/>
          </reference>
          <reference field="32" count="1" selected="0" defaultSubtotal="1">
            <x v="0"/>
          </reference>
        </references>
      </pivotArea>
    </format>
    <format dxfId="652">
      <pivotArea outline="0" fieldPosition="0">
        <references count="3">
          <reference field="4294967294" count="1" selected="0">
            <x v="5"/>
          </reference>
          <reference field="0" count="1" selected="0">
            <x v="4"/>
          </reference>
          <reference field="32" count="1" selected="0" defaultSubtotal="1">
            <x v="0"/>
          </reference>
        </references>
      </pivotArea>
    </format>
    <format dxfId="651">
      <pivotArea outline="0" fieldPosition="0">
        <references count="3">
          <reference field="4294967294" count="1" selected="0">
            <x v="5"/>
          </reference>
          <reference field="0" count="1" selected="0">
            <x v="3"/>
          </reference>
          <reference field="32" count="1" selected="0" defaultSubtotal="1">
            <x v="0"/>
          </reference>
        </references>
      </pivotArea>
    </format>
    <format dxfId="650">
      <pivotArea outline="0" fieldPosition="0">
        <references count="3">
          <reference field="4294967294" count="1" selected="0">
            <x v="5"/>
          </reference>
          <reference field="0" count="1" selected="0">
            <x v="1"/>
          </reference>
          <reference field="32" count="1" selected="0" defaultSubtotal="1">
            <x v="0"/>
          </reference>
        </references>
      </pivotArea>
    </format>
    <format dxfId="649">
      <pivotArea outline="0" fieldPosition="0">
        <references count="3">
          <reference field="4294967294" count="1" selected="0">
            <x v="5"/>
          </reference>
          <reference field="0" count="1" selected="0">
            <x v="0"/>
          </reference>
          <reference field="32" count="1" selected="0" defaultSubtotal="1">
            <x v="0"/>
          </reference>
        </references>
      </pivotArea>
    </format>
    <format dxfId="648">
      <pivotArea outline="0" fieldPosition="0">
        <references count="3">
          <reference field="4294967294" count="1" selected="0">
            <x v="2"/>
          </reference>
          <reference field="0" count="1" selected="0">
            <x v="0"/>
          </reference>
          <reference field="32" count="2" selected="0" defaultSubtotal="1">
            <x v="0"/>
            <x v="1"/>
          </reference>
        </references>
      </pivotArea>
    </format>
    <format dxfId="647">
      <pivotArea outline="0" fieldPosition="0">
        <references count="3">
          <reference field="4294967294" count="1" selected="0">
            <x v="2"/>
          </reference>
          <reference field="0" count="1" selected="0">
            <x v="1"/>
          </reference>
          <reference field="32" count="2" selected="0" defaultSubtotal="1">
            <x v="0"/>
            <x v="1"/>
          </reference>
        </references>
      </pivotArea>
    </format>
    <format dxfId="646">
      <pivotArea outline="0" fieldPosition="0">
        <references count="3">
          <reference field="4294967294" count="1" selected="0">
            <x v="2"/>
          </reference>
          <reference field="0" count="1" selected="0">
            <x v="3"/>
          </reference>
          <reference field="32" count="2" selected="0" defaultSubtotal="1">
            <x v="0"/>
            <x v="1"/>
          </reference>
        </references>
      </pivotArea>
    </format>
    <format dxfId="645">
      <pivotArea outline="0" fieldPosition="0">
        <references count="2">
          <reference field="4294967294" count="1" selected="0">
            <x v="2"/>
          </reference>
          <reference field="0" count="1" selected="0">
            <x v="4"/>
          </reference>
        </references>
      </pivotArea>
    </format>
    <format dxfId="644">
      <pivotArea outline="0" fieldPosition="0">
        <references count="2">
          <reference field="4294967294" count="1" selected="0">
            <x v="2"/>
          </reference>
          <reference field="0" count="1" selected="0">
            <x v="5"/>
          </reference>
        </references>
      </pivotArea>
    </format>
    <format dxfId="643">
      <pivotArea outline="0" fieldPosition="0">
        <references count="2">
          <reference field="4294967294" count="1" selected="0">
            <x v="2"/>
          </reference>
          <reference field="0" count="1" selected="0">
            <x v="7"/>
          </reference>
        </references>
      </pivotArea>
    </format>
    <format dxfId="642">
      <pivotArea outline="0" fieldPosition="0">
        <references count="3">
          <reference field="4294967294" count="1" selected="0">
            <x v="2"/>
          </reference>
          <reference field="0" count="1" selected="0">
            <x v="8"/>
          </reference>
          <reference field="32" count="2" selected="0" defaultSubtotal="1">
            <x v="0"/>
            <x v="1"/>
          </reference>
        </references>
      </pivotArea>
    </format>
    <format dxfId="641">
      <pivotArea outline="0" fieldPosition="0">
        <references count="3">
          <reference field="4294967294" count="1" selected="0">
            <x v="2"/>
          </reference>
          <reference field="0" count="1" selected="0">
            <x v="9"/>
          </reference>
          <reference field="32" count="2" selected="0" defaultSubtotal="1">
            <x v="0"/>
            <x v="1"/>
          </reference>
        </references>
      </pivotArea>
    </format>
    <format dxfId="640">
      <pivotArea outline="0" fieldPosition="0">
        <references count="3">
          <reference field="4294967294" count="1" selected="0">
            <x v="2"/>
          </reference>
          <reference field="0" count="1" selected="0">
            <x v="10"/>
          </reference>
          <reference field="32" count="2" selected="0" defaultSubtotal="1">
            <x v="0"/>
            <x v="1"/>
          </reference>
        </references>
      </pivotArea>
    </format>
    <format dxfId="639">
      <pivotArea outline="0" fieldPosition="0">
        <references count="3">
          <reference field="4294967294" count="1" selected="0">
            <x v="2"/>
          </reference>
          <reference field="0" count="1" selected="0">
            <x v="13"/>
          </reference>
          <reference field="32" count="2" selected="0" defaultSubtotal="1">
            <x v="0"/>
            <x v="1"/>
          </reference>
        </references>
      </pivotArea>
    </format>
    <format dxfId="638">
      <pivotArea outline="0" fieldPosition="0">
        <references count="3">
          <reference field="4294967294" count="1" selected="0">
            <x v="2"/>
          </reference>
          <reference field="0" count="1" selected="0">
            <x v="15"/>
          </reference>
          <reference field="32" count="2" selected="0" defaultSubtotal="1">
            <x v="0"/>
            <x v="1"/>
          </reference>
        </references>
      </pivotArea>
    </format>
    <format dxfId="637">
      <pivotArea outline="0" fieldPosition="0">
        <references count="3">
          <reference field="4294967294" count="1" selected="0">
            <x v="3"/>
          </reference>
          <reference field="0" count="1" selected="0">
            <x v="15"/>
          </reference>
          <reference field="32" count="2" selected="0" defaultSubtotal="1">
            <x v="0"/>
            <x v="1"/>
          </reference>
        </references>
      </pivotArea>
    </format>
    <format dxfId="636">
      <pivotArea outline="0" fieldPosition="0">
        <references count="3">
          <reference field="4294967294" count="1" selected="0">
            <x v="3"/>
          </reference>
          <reference field="0" count="1" selected="0">
            <x v="13"/>
          </reference>
          <reference field="32" count="2" selected="0" defaultSubtotal="1">
            <x v="0"/>
            <x v="1"/>
          </reference>
        </references>
      </pivotArea>
    </format>
    <format dxfId="635">
      <pivotArea outline="0" fieldPosition="0">
        <references count="3">
          <reference field="4294967294" count="1" selected="0">
            <x v="3"/>
          </reference>
          <reference field="0" count="1" selected="0">
            <x v="10"/>
          </reference>
          <reference field="32" count="2" selected="0" defaultSubtotal="1">
            <x v="0"/>
            <x v="1"/>
          </reference>
        </references>
      </pivotArea>
    </format>
    <format dxfId="634">
      <pivotArea outline="0" fieldPosition="0">
        <references count="3">
          <reference field="4294967294" count="1" selected="0">
            <x v="3"/>
          </reference>
          <reference field="0" count="1" selected="0">
            <x v="9"/>
          </reference>
          <reference field="32" count="2" selected="0" defaultSubtotal="1">
            <x v="0"/>
            <x v="1"/>
          </reference>
        </references>
      </pivotArea>
    </format>
    <format dxfId="633">
      <pivotArea outline="0" fieldPosition="0">
        <references count="3">
          <reference field="4294967294" count="1" selected="0">
            <x v="3"/>
          </reference>
          <reference field="0" count="1" selected="0">
            <x v="8"/>
          </reference>
          <reference field="32" count="2" selected="0" defaultSubtotal="1">
            <x v="0"/>
            <x v="1"/>
          </reference>
        </references>
      </pivotArea>
    </format>
    <format dxfId="632">
      <pivotArea outline="0" fieldPosition="0">
        <references count="3">
          <reference field="4294967294" count="1" selected="0">
            <x v="3"/>
          </reference>
          <reference field="0" count="1" selected="0">
            <x v="7"/>
          </reference>
          <reference field="32" count="2" selected="0" defaultSubtotal="1">
            <x v="0"/>
            <x v="1"/>
          </reference>
        </references>
      </pivotArea>
    </format>
    <format dxfId="631">
      <pivotArea outline="0" fieldPosition="0">
        <references count="2">
          <reference field="4294967294" count="1" selected="0">
            <x v="3"/>
          </reference>
          <reference field="0" count="1" selected="0">
            <x v="5"/>
          </reference>
        </references>
      </pivotArea>
    </format>
    <format dxfId="630">
      <pivotArea outline="0" fieldPosition="0">
        <references count="2">
          <reference field="4294967294" count="1" selected="0">
            <x v="3"/>
          </reference>
          <reference field="0" count="1" selected="0">
            <x v="4"/>
          </reference>
        </references>
      </pivotArea>
    </format>
    <format dxfId="629">
      <pivotArea outline="0" fieldPosition="0">
        <references count="3">
          <reference field="4294967294" count="1" selected="0">
            <x v="3"/>
          </reference>
          <reference field="0" count="1" selected="0">
            <x v="3"/>
          </reference>
          <reference field="32" count="2" selected="0" defaultSubtotal="1">
            <x v="0"/>
            <x v="1"/>
          </reference>
        </references>
      </pivotArea>
    </format>
    <format dxfId="628">
      <pivotArea outline="0" fieldPosition="0">
        <references count="3">
          <reference field="4294967294" count="1" selected="0">
            <x v="3"/>
          </reference>
          <reference field="0" count="1" selected="0">
            <x v="1"/>
          </reference>
          <reference field="32" count="2" selected="0" defaultSubtotal="1">
            <x v="0"/>
            <x v="1"/>
          </reference>
        </references>
      </pivotArea>
    </format>
    <format dxfId="627">
      <pivotArea outline="0" fieldPosition="0">
        <references count="3">
          <reference field="4294967294" count="1" selected="0">
            <x v="3"/>
          </reference>
          <reference field="0" count="1" selected="0">
            <x v="0"/>
          </reference>
          <reference field="32" count="2" selected="0" defaultSubtotal="1">
            <x v="0"/>
            <x v="1"/>
          </reference>
        </references>
      </pivotArea>
    </format>
    <format dxfId="626">
      <pivotArea outline="0" fieldPosition="0">
        <references count="3">
          <reference field="4294967294" count="1" selected="0">
            <x v="6"/>
          </reference>
          <reference field="0" count="1" selected="0">
            <x v="0"/>
          </reference>
          <reference field="32" count="1" selected="0" defaultSubtotal="1">
            <x v="0"/>
          </reference>
        </references>
      </pivotArea>
    </format>
    <format dxfId="625">
      <pivotArea outline="0" fieldPosition="0">
        <references count="3">
          <reference field="4294967294" count="1" selected="0">
            <x v="6"/>
          </reference>
          <reference field="0" count="1" selected="0">
            <x v="1"/>
          </reference>
          <reference field="32" count="1" selected="0" defaultSubtotal="1">
            <x v="0"/>
          </reference>
        </references>
      </pivotArea>
    </format>
    <format dxfId="624">
      <pivotArea outline="0" fieldPosition="0">
        <references count="3">
          <reference field="4294967294" count="1" selected="0">
            <x v="6"/>
          </reference>
          <reference field="0" count="1" selected="0">
            <x v="3"/>
          </reference>
          <reference field="32" count="1" selected="0" defaultSubtotal="1">
            <x v="0"/>
          </reference>
        </references>
      </pivotArea>
    </format>
    <format dxfId="623">
      <pivotArea outline="0" fieldPosition="0">
        <references count="3">
          <reference field="4294967294" count="1" selected="0">
            <x v="6"/>
          </reference>
          <reference field="0" count="1" selected="0">
            <x v="4"/>
          </reference>
          <reference field="32" count="1" selected="0" defaultSubtotal="1">
            <x v="0"/>
          </reference>
        </references>
      </pivotArea>
    </format>
    <format dxfId="622">
      <pivotArea outline="0" fieldPosition="0">
        <references count="3">
          <reference field="4294967294" count="1" selected="0">
            <x v="6"/>
          </reference>
          <reference field="0" count="1" selected="0">
            <x v="5"/>
          </reference>
          <reference field="32" count="1" selected="0" defaultSubtotal="1">
            <x v="0"/>
          </reference>
        </references>
      </pivotArea>
    </format>
    <format dxfId="621">
      <pivotArea outline="0" fieldPosition="0">
        <references count="3">
          <reference field="4294967294" count="1" selected="0">
            <x v="6"/>
          </reference>
          <reference field="0" count="1" selected="0">
            <x v="7"/>
          </reference>
          <reference field="32" count="1" selected="0" defaultSubtotal="1">
            <x v="0"/>
          </reference>
        </references>
      </pivotArea>
    </format>
    <format dxfId="620">
      <pivotArea outline="0" fieldPosition="0">
        <references count="3">
          <reference field="4294967294" count="1" selected="0">
            <x v="6"/>
          </reference>
          <reference field="0" count="1" selected="0">
            <x v="8"/>
          </reference>
          <reference field="32" count="1" selected="0" defaultSubtotal="1">
            <x v="0"/>
          </reference>
        </references>
      </pivotArea>
    </format>
    <format dxfId="619">
      <pivotArea outline="0" fieldPosition="0">
        <references count="3">
          <reference field="4294967294" count="1" selected="0">
            <x v="6"/>
          </reference>
          <reference field="0" count="1" selected="0">
            <x v="9"/>
          </reference>
          <reference field="32" count="1" selected="0" defaultSubtotal="1">
            <x v="0"/>
          </reference>
        </references>
      </pivotArea>
    </format>
    <format dxfId="618">
      <pivotArea outline="0" fieldPosition="0">
        <references count="3">
          <reference field="4294967294" count="1" selected="0">
            <x v="6"/>
          </reference>
          <reference field="0" count="1" selected="0">
            <x v="10"/>
          </reference>
          <reference field="32" count="1" selected="0" defaultSubtotal="1">
            <x v="0"/>
          </reference>
        </references>
      </pivotArea>
    </format>
    <format dxfId="617">
      <pivotArea outline="0" fieldPosition="0">
        <references count="3">
          <reference field="4294967294" count="1" selected="0">
            <x v="6"/>
          </reference>
          <reference field="0" count="1" selected="0">
            <x v="13"/>
          </reference>
          <reference field="32" count="1" selected="0" defaultSubtotal="1">
            <x v="0"/>
          </reference>
        </references>
      </pivotArea>
    </format>
    <format dxfId="616">
      <pivotArea outline="0" fieldPosition="0">
        <references count="3">
          <reference field="4294967294" count="1" selected="0">
            <x v="6"/>
          </reference>
          <reference field="0" count="1" selected="0">
            <x v="15"/>
          </reference>
          <reference field="32" count="1" selected="0" defaultSubtotal="1">
            <x v="0"/>
          </reference>
        </references>
      </pivotArea>
    </format>
    <format dxfId="615">
      <pivotArea outline="0" fieldPosition="0">
        <references count="1">
          <reference field="0" count="1" selected="0">
            <x v="0"/>
          </reference>
        </references>
      </pivotArea>
    </format>
    <format dxfId="614">
      <pivotArea dataOnly="0" labelOnly="1" outline="0" fieldPosition="0">
        <references count="1">
          <reference field="0" count="1">
            <x v="0"/>
          </reference>
        </references>
      </pivotArea>
    </format>
    <format dxfId="613">
      <pivotArea dataOnly="0" labelOnly="1" outline="0" fieldPosition="0">
        <references count="2">
          <reference field="4294967294" count="0"/>
          <reference field="0" count="1" selected="0">
            <x v="0"/>
          </reference>
        </references>
      </pivotArea>
    </format>
    <format dxfId="612">
      <pivotArea outline="0" fieldPosition="0">
        <references count="1">
          <reference field="0" count="1" selected="0">
            <x v="15"/>
          </reference>
        </references>
      </pivotArea>
    </format>
    <format dxfId="611">
      <pivotArea dataOnly="0" labelOnly="1" outline="0" fieldPosition="0">
        <references count="1">
          <reference field="0" count="1">
            <x v="15"/>
          </reference>
        </references>
      </pivotArea>
    </format>
    <format dxfId="610">
      <pivotArea dataOnly="0" labelOnly="1" outline="0" fieldPosition="0">
        <references count="2">
          <reference field="4294967294" count="0"/>
          <reference field="0" count="1" selected="0">
            <x v="15"/>
          </reference>
        </references>
      </pivotArea>
    </format>
    <format dxfId="609">
      <pivotArea outline="0" fieldPosition="0">
        <references count="1">
          <reference field="0" count="1" selected="0">
            <x v="12"/>
          </reference>
        </references>
      </pivotArea>
    </format>
    <format dxfId="608">
      <pivotArea dataOnly="0" labelOnly="1" outline="0" fieldPosition="0">
        <references count="1">
          <reference field="0" count="1">
            <x v="12"/>
          </reference>
        </references>
      </pivotArea>
    </format>
    <format dxfId="607">
      <pivotArea dataOnly="0" labelOnly="1" outline="0" fieldPosition="0">
        <references count="2">
          <reference field="4294967294" count="0"/>
          <reference field="0" count="1" selected="0">
            <x v="12"/>
          </reference>
        </references>
      </pivotArea>
    </format>
    <format dxfId="606">
      <pivotArea outline="0" fieldPosition="0">
        <references count="3">
          <reference field="4294967294" count="8" selected="0">
            <x v="0"/>
            <x v="1"/>
            <x v="2"/>
            <x v="3"/>
            <x v="4"/>
            <x v="5"/>
            <x v="6"/>
            <x v="7"/>
          </reference>
          <reference field="0" count="1" selected="0">
            <x v="0"/>
          </reference>
          <reference field="32" count="1" selected="0" defaultSubtotal="1">
            <x v="2"/>
          </reference>
        </references>
      </pivotArea>
    </format>
    <format dxfId="605">
      <pivotArea outline="0" fieldPosition="0">
        <references count="4">
          <reference field="4294967294" count="8" selected="0">
            <x v="0"/>
            <x v="1"/>
            <x v="2"/>
            <x v="3"/>
            <x v="4"/>
            <x v="5"/>
            <x v="6"/>
            <x v="7"/>
          </reference>
          <reference field="0" count="1" selected="0">
            <x v="0"/>
          </reference>
          <reference field="3" count="1" selected="0">
            <x v="10"/>
          </reference>
          <reference field="32" count="1" selected="0">
            <x v="2"/>
          </reference>
        </references>
      </pivotArea>
    </format>
    <format dxfId="604">
      <pivotArea outline="0" fieldPosition="0">
        <references count="3">
          <reference field="4294967294" count="1" selected="0">
            <x v="0"/>
          </reference>
          <reference field="0" count="1" selected="0">
            <x v="0"/>
          </reference>
          <reference field="32" count="1" selected="0" defaultSubtotal="1">
            <x v="0"/>
          </reference>
        </references>
      </pivotArea>
    </format>
    <format dxfId="603">
      <pivotArea outline="0" fieldPosition="0"/>
    </format>
    <format dxfId="602">
      <pivotArea field="-2" type="button" dataOnly="0" labelOnly="1" outline="0" axis="axisRow" fieldPosition="1"/>
    </format>
    <format dxfId="601">
      <pivotArea field="32" type="button" dataOnly="0" labelOnly="1" outline="0" axis="axisCol" fieldPosition="0"/>
    </format>
    <format dxfId="600">
      <pivotArea field="3" type="button" dataOnly="0" labelOnly="1" outline="0" axis="axisCol" fieldPosition="1"/>
    </format>
    <format dxfId="599">
      <pivotArea type="topRight" dataOnly="0" labelOnly="1" outline="0" fieldPosition="0"/>
    </format>
    <format dxfId="598">
      <pivotArea dataOnly="0" labelOnly="1" outline="0" fieldPosition="0">
        <references count="2">
          <reference field="4294967294" count="8">
            <x v="0"/>
            <x v="1"/>
            <x v="2"/>
            <x v="3"/>
            <x v="4"/>
            <x v="5"/>
            <x v="6"/>
            <x v="7"/>
          </reference>
          <reference field="0" count="1" selected="0">
            <x v="0"/>
          </reference>
        </references>
      </pivotArea>
    </format>
    <format dxfId="597">
      <pivotArea dataOnly="0" labelOnly="1" outline="0" fieldPosition="0">
        <references count="2">
          <reference field="4294967294" count="8">
            <x v="0"/>
            <x v="1"/>
            <x v="2"/>
            <x v="3"/>
            <x v="4"/>
            <x v="5"/>
            <x v="6"/>
            <x v="7"/>
          </reference>
          <reference field="0" count="1" selected="0">
            <x v="1"/>
          </reference>
        </references>
      </pivotArea>
    </format>
    <format dxfId="596">
      <pivotArea dataOnly="0" labelOnly="1" outline="0" fieldPosition="0">
        <references count="2">
          <reference field="4294967294" count="8">
            <x v="0"/>
            <x v="1"/>
            <x v="2"/>
            <x v="3"/>
            <x v="4"/>
            <x v="5"/>
            <x v="6"/>
            <x v="7"/>
          </reference>
          <reference field="0" count="1" selected="0">
            <x v="3"/>
          </reference>
        </references>
      </pivotArea>
    </format>
    <format dxfId="595">
      <pivotArea dataOnly="0" labelOnly="1" outline="0" fieldPosition="0">
        <references count="2">
          <reference field="4294967294" count="8">
            <x v="0"/>
            <x v="1"/>
            <x v="2"/>
            <x v="3"/>
            <x v="4"/>
            <x v="5"/>
            <x v="6"/>
            <x v="7"/>
          </reference>
          <reference field="0" count="1" selected="0">
            <x v="4"/>
          </reference>
        </references>
      </pivotArea>
    </format>
    <format dxfId="594">
      <pivotArea dataOnly="0" labelOnly="1" outline="0" fieldPosition="0">
        <references count="2">
          <reference field="4294967294" count="8">
            <x v="0"/>
            <x v="1"/>
            <x v="2"/>
            <x v="3"/>
            <x v="4"/>
            <x v="5"/>
            <x v="6"/>
            <x v="7"/>
          </reference>
          <reference field="0" count="1" selected="0">
            <x v="5"/>
          </reference>
        </references>
      </pivotArea>
    </format>
    <format dxfId="593">
      <pivotArea dataOnly="0" labelOnly="1" outline="0" fieldPosition="0">
        <references count="2">
          <reference field="4294967294" count="8">
            <x v="0"/>
            <x v="1"/>
            <x v="2"/>
            <x v="3"/>
            <x v="4"/>
            <x v="5"/>
            <x v="6"/>
            <x v="7"/>
          </reference>
          <reference field="0" count="1" selected="0">
            <x v="7"/>
          </reference>
        </references>
      </pivotArea>
    </format>
    <format dxfId="592">
      <pivotArea dataOnly="0" labelOnly="1" outline="0" fieldPosition="0">
        <references count="2">
          <reference field="4294967294" count="8">
            <x v="0"/>
            <x v="1"/>
            <x v="2"/>
            <x v="3"/>
            <x v="4"/>
            <x v="5"/>
            <x v="6"/>
            <x v="7"/>
          </reference>
          <reference field="0" count="1" selected="0">
            <x v="8"/>
          </reference>
        </references>
      </pivotArea>
    </format>
    <format dxfId="591">
      <pivotArea dataOnly="0" labelOnly="1" outline="0" fieldPosition="0">
        <references count="2">
          <reference field="4294967294" count="8">
            <x v="0"/>
            <x v="1"/>
            <x v="2"/>
            <x v="3"/>
            <x v="4"/>
            <x v="5"/>
            <x v="6"/>
            <x v="7"/>
          </reference>
          <reference field="0" count="1" selected="0">
            <x v="9"/>
          </reference>
        </references>
      </pivotArea>
    </format>
    <format dxfId="590">
      <pivotArea dataOnly="0" labelOnly="1" outline="0" fieldPosition="0">
        <references count="2">
          <reference field="4294967294" count="8">
            <x v="0"/>
            <x v="1"/>
            <x v="2"/>
            <x v="3"/>
            <x v="4"/>
            <x v="5"/>
            <x v="6"/>
            <x v="7"/>
          </reference>
          <reference field="0" count="1" selected="0">
            <x v="10"/>
          </reference>
        </references>
      </pivotArea>
    </format>
    <format dxfId="589">
      <pivotArea dataOnly="0" labelOnly="1" outline="0" fieldPosition="0">
        <references count="2">
          <reference field="4294967294" count="8">
            <x v="0"/>
            <x v="1"/>
            <x v="2"/>
            <x v="3"/>
            <x v="4"/>
            <x v="5"/>
            <x v="6"/>
            <x v="7"/>
          </reference>
          <reference field="0" count="1" selected="0">
            <x v="11"/>
          </reference>
        </references>
      </pivotArea>
    </format>
    <format dxfId="588">
      <pivotArea dataOnly="0" labelOnly="1" outline="0" fieldPosition="0">
        <references count="2">
          <reference field="4294967294" count="8">
            <x v="0"/>
            <x v="1"/>
            <x v="2"/>
            <x v="3"/>
            <x v="4"/>
            <x v="5"/>
            <x v="6"/>
            <x v="7"/>
          </reference>
          <reference field="0" count="1" selected="0">
            <x v="12"/>
          </reference>
        </references>
      </pivotArea>
    </format>
    <format dxfId="587">
      <pivotArea dataOnly="0" labelOnly="1" outline="0" fieldPosition="0">
        <references count="2">
          <reference field="4294967294" count="8">
            <x v="0"/>
            <x v="1"/>
            <x v="2"/>
            <x v="3"/>
            <x v="4"/>
            <x v="5"/>
            <x v="6"/>
            <x v="7"/>
          </reference>
          <reference field="0" count="1" selected="0">
            <x v="13"/>
          </reference>
        </references>
      </pivotArea>
    </format>
    <format dxfId="586">
      <pivotArea dataOnly="0" labelOnly="1" outline="0" fieldPosition="0">
        <references count="2">
          <reference field="4294967294" count="8">
            <x v="0"/>
            <x v="1"/>
            <x v="2"/>
            <x v="3"/>
            <x v="4"/>
            <x v="5"/>
            <x v="6"/>
            <x v="7"/>
          </reference>
          <reference field="0" count="1" selected="0">
            <x v="15"/>
          </reference>
        </references>
      </pivotArea>
    </format>
    <format dxfId="585">
      <pivotArea dataOnly="0" labelOnly="1" outline="0" fieldPosition="0">
        <references count="1">
          <reference field="32" count="0"/>
        </references>
      </pivotArea>
    </format>
    <format dxfId="584">
      <pivotArea dataOnly="0" labelOnly="1" outline="0" fieldPosition="0">
        <references count="1">
          <reference field="32" count="0" defaultSubtotal="1"/>
        </references>
      </pivotArea>
    </format>
    <format dxfId="583">
      <pivotArea dataOnly="0" labelOnly="1" outline="0" fieldPosition="0">
        <references count="2">
          <reference field="3" count="7">
            <x v="0"/>
            <x v="1"/>
            <x v="2"/>
            <x v="3"/>
            <x v="4"/>
            <x v="5"/>
            <x v="12"/>
          </reference>
          <reference field="32" count="1" selected="0">
            <x v="0"/>
          </reference>
        </references>
      </pivotArea>
    </format>
    <format dxfId="582">
      <pivotArea dataOnly="0" labelOnly="1" outline="0" fieldPosition="0">
        <references count="2">
          <reference field="3" count="4">
            <x v="6"/>
            <x v="7"/>
            <x v="8"/>
            <x v="9"/>
          </reference>
          <reference field="32" count="1" selected="0">
            <x v="1"/>
          </reference>
        </references>
      </pivotArea>
    </format>
    <format dxfId="581">
      <pivotArea dataOnly="0" labelOnly="1" outline="0" fieldPosition="0">
        <references count="2">
          <reference field="3" count="2">
            <x v="10"/>
            <x v="11"/>
          </reference>
          <reference field="32" count="1" selected="0">
            <x v="2"/>
          </reference>
        </references>
      </pivotArea>
    </format>
    <format dxfId="580">
      <pivotArea dataOnly="0" labelOnly="1" outline="0" fieldPosition="0">
        <references count="2">
          <reference field="3" count="1">
            <x v="15"/>
          </reference>
          <reference field="32" count="1" selected="0">
            <x v="4"/>
          </reference>
        </references>
      </pivotArea>
    </format>
    <format dxfId="579">
      <pivotArea outline="0" fieldPosition="0"/>
    </format>
    <format dxfId="578">
      <pivotArea field="-2" type="button" dataOnly="0" labelOnly="1" outline="0" axis="axisRow" fieldPosition="1"/>
    </format>
    <format dxfId="577">
      <pivotArea field="32" type="button" dataOnly="0" labelOnly="1" outline="0" axis="axisCol" fieldPosition="0"/>
    </format>
    <format dxfId="576">
      <pivotArea field="3" type="button" dataOnly="0" labelOnly="1" outline="0" axis="axisCol" fieldPosition="1"/>
    </format>
    <format dxfId="575">
      <pivotArea type="topRight" dataOnly="0" labelOnly="1" outline="0" fieldPosition="0"/>
    </format>
    <format dxfId="574">
      <pivotArea dataOnly="0" labelOnly="1" outline="0" fieldPosition="0">
        <references count="2">
          <reference field="4294967294" count="8">
            <x v="0"/>
            <x v="1"/>
            <x v="2"/>
            <x v="3"/>
            <x v="4"/>
            <x v="5"/>
            <x v="6"/>
            <x v="7"/>
          </reference>
          <reference field="0" count="1" selected="0">
            <x v="0"/>
          </reference>
        </references>
      </pivotArea>
    </format>
    <format dxfId="573">
      <pivotArea dataOnly="0" labelOnly="1" outline="0" fieldPosition="0">
        <references count="2">
          <reference field="4294967294" count="8">
            <x v="0"/>
            <x v="1"/>
            <x v="2"/>
            <x v="3"/>
            <x v="4"/>
            <x v="5"/>
            <x v="6"/>
            <x v="7"/>
          </reference>
          <reference field="0" count="1" selected="0">
            <x v="1"/>
          </reference>
        </references>
      </pivotArea>
    </format>
    <format dxfId="572">
      <pivotArea dataOnly="0" labelOnly="1" outline="0" fieldPosition="0">
        <references count="2">
          <reference field="4294967294" count="8">
            <x v="0"/>
            <x v="1"/>
            <x v="2"/>
            <x v="3"/>
            <x v="4"/>
            <x v="5"/>
            <x v="6"/>
            <x v="7"/>
          </reference>
          <reference field="0" count="1" selected="0">
            <x v="3"/>
          </reference>
        </references>
      </pivotArea>
    </format>
    <format dxfId="571">
      <pivotArea dataOnly="0" labelOnly="1" outline="0" fieldPosition="0">
        <references count="2">
          <reference field="4294967294" count="8">
            <x v="0"/>
            <x v="1"/>
            <x v="2"/>
            <x v="3"/>
            <x v="4"/>
            <x v="5"/>
            <x v="6"/>
            <x v="7"/>
          </reference>
          <reference field="0" count="1" selected="0">
            <x v="4"/>
          </reference>
        </references>
      </pivotArea>
    </format>
    <format dxfId="570">
      <pivotArea dataOnly="0" labelOnly="1" outline="0" fieldPosition="0">
        <references count="2">
          <reference field="4294967294" count="8">
            <x v="0"/>
            <x v="1"/>
            <x v="2"/>
            <x v="3"/>
            <x v="4"/>
            <x v="5"/>
            <x v="6"/>
            <x v="7"/>
          </reference>
          <reference field="0" count="1" selected="0">
            <x v="5"/>
          </reference>
        </references>
      </pivotArea>
    </format>
    <format dxfId="569">
      <pivotArea dataOnly="0" labelOnly="1" outline="0" fieldPosition="0">
        <references count="2">
          <reference field="4294967294" count="8">
            <x v="0"/>
            <x v="1"/>
            <x v="2"/>
            <x v="3"/>
            <x v="4"/>
            <x v="5"/>
            <x v="6"/>
            <x v="7"/>
          </reference>
          <reference field="0" count="1" selected="0">
            <x v="7"/>
          </reference>
        </references>
      </pivotArea>
    </format>
    <format dxfId="568">
      <pivotArea dataOnly="0" labelOnly="1" outline="0" fieldPosition="0">
        <references count="2">
          <reference field="4294967294" count="8">
            <x v="0"/>
            <x v="1"/>
            <x v="2"/>
            <x v="3"/>
            <x v="4"/>
            <x v="5"/>
            <x v="6"/>
            <x v="7"/>
          </reference>
          <reference field="0" count="1" selected="0">
            <x v="8"/>
          </reference>
        </references>
      </pivotArea>
    </format>
    <format dxfId="567">
      <pivotArea dataOnly="0" labelOnly="1" outline="0" fieldPosition="0">
        <references count="2">
          <reference field="4294967294" count="8">
            <x v="0"/>
            <x v="1"/>
            <x v="2"/>
            <x v="3"/>
            <x v="4"/>
            <x v="5"/>
            <x v="6"/>
            <x v="7"/>
          </reference>
          <reference field="0" count="1" selected="0">
            <x v="9"/>
          </reference>
        </references>
      </pivotArea>
    </format>
    <format dxfId="566">
      <pivotArea dataOnly="0" labelOnly="1" outline="0" fieldPosition="0">
        <references count="2">
          <reference field="4294967294" count="8">
            <x v="0"/>
            <x v="1"/>
            <x v="2"/>
            <x v="3"/>
            <x v="4"/>
            <x v="5"/>
            <x v="6"/>
            <x v="7"/>
          </reference>
          <reference field="0" count="1" selected="0">
            <x v="10"/>
          </reference>
        </references>
      </pivotArea>
    </format>
    <format dxfId="565">
      <pivotArea dataOnly="0" labelOnly="1" outline="0" fieldPosition="0">
        <references count="2">
          <reference field="4294967294" count="8">
            <x v="0"/>
            <x v="1"/>
            <x v="2"/>
            <x v="3"/>
            <x v="4"/>
            <x v="5"/>
            <x v="6"/>
            <x v="7"/>
          </reference>
          <reference field="0" count="1" selected="0">
            <x v="11"/>
          </reference>
        </references>
      </pivotArea>
    </format>
    <format dxfId="564">
      <pivotArea dataOnly="0" labelOnly="1" outline="0" fieldPosition="0">
        <references count="2">
          <reference field="4294967294" count="8">
            <x v="0"/>
            <x v="1"/>
            <x v="2"/>
            <x v="3"/>
            <x v="4"/>
            <x v="5"/>
            <x v="6"/>
            <x v="7"/>
          </reference>
          <reference field="0" count="1" selected="0">
            <x v="12"/>
          </reference>
        </references>
      </pivotArea>
    </format>
    <format dxfId="563">
      <pivotArea dataOnly="0" labelOnly="1" outline="0" fieldPosition="0">
        <references count="2">
          <reference field="4294967294" count="8">
            <x v="0"/>
            <x v="1"/>
            <x v="2"/>
            <x v="3"/>
            <x v="4"/>
            <x v="5"/>
            <x v="6"/>
            <x v="7"/>
          </reference>
          <reference field="0" count="1" selected="0">
            <x v="13"/>
          </reference>
        </references>
      </pivotArea>
    </format>
    <format dxfId="562">
      <pivotArea dataOnly="0" labelOnly="1" outline="0" fieldPosition="0">
        <references count="2">
          <reference field="4294967294" count="8">
            <x v="0"/>
            <x v="1"/>
            <x v="2"/>
            <x v="3"/>
            <x v="4"/>
            <x v="5"/>
            <x v="6"/>
            <x v="7"/>
          </reference>
          <reference field="0" count="1" selected="0">
            <x v="15"/>
          </reference>
        </references>
      </pivotArea>
    </format>
    <format dxfId="561">
      <pivotArea dataOnly="0" labelOnly="1" outline="0" fieldPosition="0">
        <references count="1">
          <reference field="32" count="0"/>
        </references>
      </pivotArea>
    </format>
    <format dxfId="560">
      <pivotArea dataOnly="0" labelOnly="1" outline="0" fieldPosition="0">
        <references count="1">
          <reference field="32" count="0" defaultSubtotal="1"/>
        </references>
      </pivotArea>
    </format>
    <format dxfId="559">
      <pivotArea dataOnly="0" labelOnly="1" outline="0" fieldPosition="0">
        <references count="2">
          <reference field="3" count="7">
            <x v="0"/>
            <x v="1"/>
            <x v="2"/>
            <x v="3"/>
            <x v="4"/>
            <x v="5"/>
            <x v="12"/>
          </reference>
          <reference field="32" count="1" selected="0">
            <x v="0"/>
          </reference>
        </references>
      </pivotArea>
    </format>
    <format dxfId="558">
      <pivotArea dataOnly="0" labelOnly="1" outline="0" fieldPosition="0">
        <references count="2">
          <reference field="3" count="4">
            <x v="6"/>
            <x v="7"/>
            <x v="8"/>
            <x v="9"/>
          </reference>
          <reference field="32" count="1" selected="0">
            <x v="1"/>
          </reference>
        </references>
      </pivotArea>
    </format>
    <format dxfId="557">
      <pivotArea dataOnly="0" labelOnly="1" outline="0" fieldPosition="0">
        <references count="2">
          <reference field="3" count="2">
            <x v="10"/>
            <x v="11"/>
          </reference>
          <reference field="32" count="1" selected="0">
            <x v="2"/>
          </reference>
        </references>
      </pivotArea>
    </format>
    <format dxfId="556">
      <pivotArea dataOnly="0" labelOnly="1" outline="0" fieldPosition="0">
        <references count="2">
          <reference field="3" count="1">
            <x v="15"/>
          </reference>
          <reference field="32" count="1" selected="0">
            <x v="4"/>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Type10ug4"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Type10ug5" connectionId="5"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Type10ug1" connectionId="1"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Type10ug2"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Type10ug3"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queryTable" Target="../queryTables/queryTable1.xml"/><Relationship Id="rId7" Type="http://schemas.openxmlformats.org/officeDocument/2006/relationships/queryTable" Target="../queryTables/queryTable5.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queryTable" Target="../queryTables/queryTable4.xml"/><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sheetPr>
    <tabColor rgb="FFC00000"/>
  </sheetPr>
  <dimension ref="A1:AO117"/>
  <sheetViews>
    <sheetView showGridLines="0" showZeros="0" tabSelected="1" view="pageBreakPreview" zoomScaleNormal="100" zoomScaleSheetLayoutView="100" workbookViewId="0">
      <selection activeCell="Q1" sqref="Q1"/>
    </sheetView>
  </sheetViews>
  <sheetFormatPr defaultRowHeight="15"/>
  <cols>
    <col min="1" max="1" width="12.7109375" style="237" customWidth="1"/>
    <col min="2" max="7" width="7.140625" style="237" customWidth="1"/>
    <col min="8" max="8" width="7.140625" style="243" customWidth="1"/>
    <col min="9" max="12" width="7.140625" style="237" customWidth="1"/>
    <col min="13" max="13" width="7.140625" style="242" customWidth="1"/>
    <col min="14" max="15" width="7.140625" style="237" customWidth="1"/>
    <col min="16" max="16" width="7.140625" style="243" customWidth="1"/>
    <col min="17" max="23" width="9.140625" style="237"/>
    <col min="24" max="24" width="13.28515625" style="237" customWidth="1"/>
    <col min="25" max="16384" width="9.140625" style="237"/>
  </cols>
  <sheetData>
    <row r="1" spans="1:33" ht="18">
      <c r="A1" s="31" t="s">
        <v>650</v>
      </c>
      <c r="B1" s="32"/>
      <c r="C1" s="32"/>
      <c r="D1" s="32"/>
      <c r="E1" s="32"/>
      <c r="F1" s="32"/>
      <c r="G1" s="234"/>
      <c r="H1" s="235"/>
      <c r="I1" s="234"/>
      <c r="J1" s="234"/>
      <c r="K1" s="234"/>
      <c r="L1" s="234"/>
      <c r="M1" s="236"/>
      <c r="N1" s="234"/>
      <c r="O1" s="36"/>
      <c r="P1" s="36"/>
    </row>
    <row r="2" spans="1:33" s="40" customFormat="1" ht="12.75">
      <c r="A2" s="37"/>
      <c r="B2" s="36"/>
      <c r="C2" s="36"/>
      <c r="D2" s="36"/>
      <c r="E2" s="36"/>
      <c r="F2" s="36"/>
      <c r="G2" s="36"/>
      <c r="H2" s="38"/>
      <c r="I2" s="36"/>
      <c r="J2" s="36"/>
      <c r="K2" s="36"/>
      <c r="L2" s="36"/>
      <c r="M2" s="39"/>
      <c r="N2" s="36"/>
      <c r="O2" s="36"/>
      <c r="P2" s="38"/>
    </row>
    <row r="3" spans="1:33" ht="15.75">
      <c r="A3" s="238" t="s">
        <v>1009</v>
      </c>
      <c r="B3" s="36"/>
      <c r="C3" s="36"/>
      <c r="D3" s="36"/>
      <c r="E3" s="36"/>
      <c r="F3" s="36"/>
      <c r="G3" s="234"/>
      <c r="H3" s="235"/>
      <c r="I3" s="234"/>
      <c r="J3" s="234"/>
      <c r="K3" s="234"/>
      <c r="L3" s="234"/>
      <c r="M3" s="236"/>
      <c r="N3" s="234"/>
      <c r="O3" s="234"/>
      <c r="P3" s="235"/>
    </row>
    <row r="4" spans="1:33">
      <c r="A4" s="239"/>
      <c r="B4" s="240"/>
      <c r="C4" s="240"/>
      <c r="D4" s="240"/>
      <c r="E4" s="240"/>
      <c r="F4" s="240"/>
      <c r="G4" s="240"/>
      <c r="H4" s="241"/>
      <c r="I4" s="240"/>
      <c r="J4" s="240"/>
      <c r="K4" s="240"/>
      <c r="L4" s="240"/>
    </row>
    <row r="5" spans="1:33" s="49" customFormat="1">
      <c r="A5" s="321"/>
      <c r="B5" s="628" t="s">
        <v>565</v>
      </c>
      <c r="C5" s="628"/>
      <c r="D5" s="628"/>
      <c r="E5" s="628"/>
      <c r="F5" s="628"/>
      <c r="G5" s="628"/>
      <c r="H5" s="629"/>
      <c r="I5" s="630" t="s">
        <v>566</v>
      </c>
      <c r="J5" s="628"/>
      <c r="K5" s="628"/>
      <c r="L5" s="628"/>
      <c r="M5" s="628"/>
      <c r="N5" s="322" t="s">
        <v>567</v>
      </c>
      <c r="O5" s="323"/>
      <c r="P5" s="96"/>
      <c r="R5" s="237"/>
      <c r="S5" s="237"/>
      <c r="T5" s="237"/>
      <c r="U5" s="237"/>
      <c r="V5" s="237"/>
      <c r="W5" s="237"/>
      <c r="X5" s="237"/>
      <c r="Y5" s="237"/>
      <c r="Z5" s="237"/>
      <c r="AA5" s="237"/>
      <c r="AB5" s="237"/>
      <c r="AC5" s="237"/>
      <c r="AD5" s="237"/>
      <c r="AE5" s="237"/>
      <c r="AF5" s="237"/>
      <c r="AG5" s="237"/>
    </row>
    <row r="6" spans="1:33" s="56" customFormat="1" ht="24.75">
      <c r="A6" s="324"/>
      <c r="B6" s="325">
        <v>1</v>
      </c>
      <c r="C6" s="325">
        <v>2</v>
      </c>
      <c r="D6" s="325">
        <v>3</v>
      </c>
      <c r="E6" s="325">
        <v>4</v>
      </c>
      <c r="F6" s="325">
        <v>5</v>
      </c>
      <c r="G6" s="325">
        <v>6</v>
      </c>
      <c r="H6" s="326" t="s">
        <v>651</v>
      </c>
      <c r="I6" s="327" t="s">
        <v>652</v>
      </c>
      <c r="J6" s="325">
        <v>1</v>
      </c>
      <c r="K6" s="325">
        <v>2</v>
      </c>
      <c r="L6" s="325">
        <v>3</v>
      </c>
      <c r="M6" s="328" t="s">
        <v>651</v>
      </c>
      <c r="N6" s="328">
        <v>1</v>
      </c>
      <c r="O6" s="325">
        <v>2</v>
      </c>
      <c r="P6" s="320" t="s">
        <v>651</v>
      </c>
      <c r="R6" s="237"/>
      <c r="S6" s="237"/>
      <c r="T6" s="237"/>
      <c r="U6" s="237"/>
      <c r="V6" s="237"/>
      <c r="W6" s="237"/>
      <c r="X6" s="237"/>
      <c r="Y6" s="237"/>
      <c r="Z6" s="237"/>
      <c r="AA6" s="237"/>
      <c r="AB6" s="237"/>
      <c r="AC6" s="237"/>
      <c r="AD6" s="237"/>
      <c r="AE6" s="237"/>
      <c r="AF6" s="237"/>
      <c r="AG6" s="237"/>
    </row>
    <row r="7" spans="1:33">
      <c r="A7" s="40" t="s">
        <v>653</v>
      </c>
      <c r="B7" s="187">
        <f>+'NEW...Tables 91-112'!B41+'NEW...Tables 91-112'!C41</f>
        <v>95.743217345631138</v>
      </c>
      <c r="C7" s="187">
        <f>+'NEW...Tables 91-112'!B72+'NEW...Tables 91-112'!C72</f>
        <v>98.763822402692142</v>
      </c>
      <c r="D7" s="187">
        <f>+'NEW...Tables 91-112'!B103+'NEW...Tables 91-112'!C103</f>
        <v>83.62920218842811</v>
      </c>
      <c r="E7" s="187">
        <f>+'NEW...Tables 91-112'!B134+'NEW...Tables 91-112'!C134</f>
        <v>90.880540170909214</v>
      </c>
      <c r="F7" s="187">
        <f>+'NEW...Tables 91-112'!B164+'NEW...Tables 91-112'!C164</f>
        <v>96.924099687059169</v>
      </c>
      <c r="G7" s="187">
        <f>+'NEW...Tables 91-112'!B195+'NEW...Tables 91-112'!C195</f>
        <v>29.181522592218862</v>
      </c>
      <c r="H7" s="190">
        <f>+'NEW...Tables 91-112'!B9+'NEW...Tables 91-112'!C9</f>
        <v>90.000649240178589</v>
      </c>
      <c r="I7" s="192">
        <f>+'NEW...Tables 91-112'!B257+'NEW...Tables 91-112'!C257</f>
        <v>0</v>
      </c>
      <c r="J7" s="187">
        <f>+'NEW...Tables 91-112'!B288+'NEW...Tables 91-112'!C288</f>
        <v>80.643964460451954</v>
      </c>
      <c r="K7" s="187">
        <f>+'NEW...Tables 91-112'!B319+'NEW...Tables 91-112'!C319</f>
        <v>85.095798185817202</v>
      </c>
      <c r="L7" s="187">
        <f>+'NEW...Tables 91-112'!B349+'NEW...Tables 91-112'!C349</f>
        <v>81.288540334931028</v>
      </c>
      <c r="M7" s="192">
        <f>+'NEW...Tables 91-112'!B226+'NEW...Tables 91-112'!C226</f>
        <v>83.480339778967306</v>
      </c>
      <c r="N7" s="195">
        <f>+'NEW...Tables 91-112'!B410+'NEW...Tables 91-112'!C410</f>
        <v>92.477422209706944</v>
      </c>
      <c r="O7" s="197">
        <f>+'NEW...Tables 91-112'!B440+'NEW...Tables 91-112'!C440</f>
        <v>91.862355832860658</v>
      </c>
      <c r="P7" s="200">
        <f>+'NEW...Tables 91-112'!B380+'NEW...Tables 91-112'!C380</f>
        <v>92.099308805752713</v>
      </c>
      <c r="Q7" s="40"/>
      <c r="R7" s="40"/>
      <c r="V7" s="40"/>
    </row>
    <row r="8" spans="1:33">
      <c r="A8" s="40" t="s">
        <v>654</v>
      </c>
      <c r="B8" s="187">
        <f>+'NEW...Tables 91-112'!B42+'NEW...Tables 91-112'!C42</f>
        <v>96.807820617646243</v>
      </c>
      <c r="C8" s="187">
        <f>+'NEW...Tables 91-112'!B73+'NEW...Tables 91-112'!C73</f>
        <v>0</v>
      </c>
      <c r="D8" s="187">
        <f>+'NEW...Tables 91-112'!B104+'NEW...Tables 91-112'!C104</f>
        <v>84.696089738485369</v>
      </c>
      <c r="E8" s="187">
        <f>+'NEW...Tables 91-112'!B135+'NEW...Tables 91-112'!C135</f>
        <v>87.385230730516966</v>
      </c>
      <c r="F8" s="187">
        <f>+'NEW...Tables 91-112'!B165+'NEW...Tables 91-112'!C165</f>
        <v>88.53887355523068</v>
      </c>
      <c r="G8" s="187">
        <f>+'NEW...Tables 91-112'!B196+'NEW...Tables 91-112'!C196</f>
        <v>89.413622916160989</v>
      </c>
      <c r="H8" s="190">
        <f>+'NEW...Tables 91-112'!B10+'NEW...Tables 91-112'!C10</f>
        <v>88.951774051439813</v>
      </c>
      <c r="I8" s="192">
        <f>+'NEW...Tables 91-112'!B258+'NEW...Tables 91-112'!C258</f>
        <v>0</v>
      </c>
      <c r="J8" s="187">
        <f>+'NEW...Tables 91-112'!B289+'NEW...Tables 91-112'!C289</f>
        <v>68.342841817827193</v>
      </c>
      <c r="K8" s="187">
        <f>+'NEW...Tables 91-112'!B320+'NEW...Tables 91-112'!C320</f>
        <v>81.705538758125229</v>
      </c>
      <c r="L8" s="187">
        <f>+'NEW...Tables 91-112'!B350+'NEW...Tables 91-112'!C350</f>
        <v>82.366508773818495</v>
      </c>
      <c r="M8" s="192">
        <f>+'NEW...Tables 91-112'!B227+'NEW...Tables 91-112'!C227</f>
        <v>79.638588135151139</v>
      </c>
      <c r="N8" s="195">
        <f>+'NEW...Tables 91-112'!B411+'NEW...Tables 91-112'!C411</f>
        <v>0</v>
      </c>
      <c r="O8" s="197">
        <f>+'NEW...Tables 91-112'!B441+'NEW...Tables 91-112'!C441</f>
        <v>0</v>
      </c>
      <c r="P8" s="200">
        <f>+'NEW...Tables 91-112'!B381+'NEW...Tables 91-112'!C381</f>
        <v>0</v>
      </c>
    </row>
    <row r="9" spans="1:33">
      <c r="A9" s="40" t="s">
        <v>655</v>
      </c>
      <c r="B9" s="187">
        <f>+'NEW...Tables 91-112'!B43+'NEW...Tables 91-112'!C43</f>
        <v>0</v>
      </c>
      <c r="C9" s="187">
        <f>+'NEW...Tables 91-112'!B74+'NEW...Tables 91-112'!C74</f>
        <v>0</v>
      </c>
      <c r="D9" s="187">
        <f>+'NEW...Tables 91-112'!B105+'NEW...Tables 91-112'!C105</f>
        <v>0</v>
      </c>
      <c r="E9" s="187">
        <f>+'NEW...Tables 91-112'!B136+'NEW...Tables 91-112'!C136</f>
        <v>0</v>
      </c>
      <c r="F9" s="187">
        <f>+'NEW...Tables 91-112'!B166+'NEW...Tables 91-112'!C166</f>
        <v>0</v>
      </c>
      <c r="G9" s="187">
        <f>+'NEW...Tables 91-112'!B197+'NEW...Tables 91-112'!C197</f>
        <v>0</v>
      </c>
      <c r="H9" s="190">
        <f>+'NEW...Tables 91-112'!B11+'NEW...Tables 91-112'!C11</f>
        <v>0</v>
      </c>
      <c r="I9" s="192">
        <f>+'NEW...Tables 91-112'!B259+'NEW...Tables 91-112'!C259</f>
        <v>0</v>
      </c>
      <c r="J9" s="187">
        <f>+'NEW...Tables 91-112'!B290+'NEW...Tables 91-112'!C290</f>
        <v>0</v>
      </c>
      <c r="K9" s="187">
        <f>+'NEW...Tables 91-112'!B321+'NEW...Tables 91-112'!C321</f>
        <v>0</v>
      </c>
      <c r="L9" s="187">
        <f>+'NEW...Tables 91-112'!B351+'NEW...Tables 91-112'!C351</f>
        <v>0</v>
      </c>
      <c r="M9" s="192">
        <f>+'NEW...Tables 91-112'!B228+'NEW...Tables 91-112'!C228</f>
        <v>0</v>
      </c>
      <c r="N9" s="195">
        <f>+'NEW...Tables 91-112'!B412+'NEW...Tables 91-112'!C412</f>
        <v>0</v>
      </c>
      <c r="O9" s="197">
        <f>+'NEW...Tables 91-112'!B442+'NEW...Tables 91-112'!C442</f>
        <v>0</v>
      </c>
      <c r="P9" s="200">
        <f>+'NEW...Tables 91-112'!B382+'NEW...Tables 91-112'!C382</f>
        <v>0</v>
      </c>
    </row>
    <row r="10" spans="1:33">
      <c r="A10" s="40" t="s">
        <v>656</v>
      </c>
      <c r="B10" s="187">
        <f>+'NEW...Tables 91-112'!B44+'NEW...Tables 91-112'!C44</f>
        <v>80.444012484438645</v>
      </c>
      <c r="C10" s="187">
        <f>+'NEW...Tables 91-112'!B75+'NEW...Tables 91-112'!C75</f>
        <v>93.504257016843923</v>
      </c>
      <c r="D10" s="187">
        <f>+'NEW...Tables 91-112'!B106+'NEW...Tables 91-112'!C106</f>
        <v>86.283339433262412</v>
      </c>
      <c r="E10" s="187">
        <f>+'NEW...Tables 91-112'!B137+'NEW...Tables 91-112'!C137</f>
        <v>80.732303411538453</v>
      </c>
      <c r="F10" s="187">
        <f>+'NEW...Tables 91-112'!B167+'NEW...Tables 91-112'!C167</f>
        <v>0</v>
      </c>
      <c r="G10" s="187">
        <f>+'NEW...Tables 91-112'!B198+'NEW...Tables 91-112'!C198</f>
        <v>100</v>
      </c>
      <c r="H10" s="190">
        <f>+'NEW...Tables 91-112'!B12+'NEW...Tables 91-112'!C12</f>
        <v>82.401044486561247</v>
      </c>
      <c r="I10" s="192">
        <f>+'NEW...Tables 91-112'!B260+'NEW...Tables 91-112'!C260</f>
        <v>80.020055692201069</v>
      </c>
      <c r="J10" s="187">
        <f>+'NEW...Tables 91-112'!B291+'NEW...Tables 91-112'!C291</f>
        <v>76.555269379298863</v>
      </c>
      <c r="K10" s="187">
        <f>+'NEW...Tables 91-112'!B322+'NEW...Tables 91-112'!C322</f>
        <v>71.722792311027604</v>
      </c>
      <c r="L10" s="187">
        <f>+'NEW...Tables 91-112'!B352+'NEW...Tables 91-112'!C352</f>
        <v>71.655771469508366</v>
      </c>
      <c r="M10" s="192">
        <f>+'NEW...Tables 91-112'!B229+'NEW...Tables 91-112'!C229</f>
        <v>77.380625498281546</v>
      </c>
      <c r="N10" s="195">
        <f>+'NEW...Tables 91-112'!B413+'NEW...Tables 91-112'!C413</f>
        <v>0</v>
      </c>
      <c r="O10" s="197">
        <f>+'NEW...Tables 91-112'!B443+'NEW...Tables 91-112'!C443</f>
        <v>0</v>
      </c>
      <c r="P10" s="200">
        <f>+'NEW...Tables 91-112'!B383+'NEW...Tables 91-112'!C383</f>
        <v>0</v>
      </c>
    </row>
    <row r="11" spans="1:33">
      <c r="A11" s="40"/>
      <c r="B11" s="187"/>
      <c r="C11" s="187"/>
      <c r="D11" s="187"/>
      <c r="E11" s="187"/>
      <c r="F11" s="187"/>
      <c r="G11" s="187"/>
      <c r="H11" s="190"/>
      <c r="I11" s="192"/>
      <c r="J11" s="187"/>
      <c r="K11" s="187"/>
      <c r="L11" s="187"/>
      <c r="M11" s="192"/>
      <c r="N11" s="195"/>
      <c r="O11" s="197"/>
      <c r="P11" s="200"/>
    </row>
    <row r="12" spans="1:33">
      <c r="A12" s="40" t="s">
        <v>657</v>
      </c>
      <c r="B12" s="187">
        <f>+'NEW...Tables 91-112'!B46+'NEW...Tables 91-112'!C46</f>
        <v>0</v>
      </c>
      <c r="C12" s="187">
        <f>+'NEW...Tables 91-112'!B77+'NEW...Tables 91-112'!C77</f>
        <v>0</v>
      </c>
      <c r="D12" s="187">
        <f>+'NEW...Tables 91-112'!B108+'NEW...Tables 91-112'!C108</f>
        <v>0</v>
      </c>
      <c r="E12" s="187">
        <f>+'NEW...Tables 91-112'!B139+'NEW...Tables 91-112'!C139</f>
        <v>0</v>
      </c>
      <c r="F12" s="187">
        <f>+'NEW...Tables 91-112'!B169+'NEW...Tables 91-112'!C169</f>
        <v>0</v>
      </c>
      <c r="G12" s="187">
        <f>+'NEW...Tables 91-112'!B200+'NEW...Tables 91-112'!C200</f>
        <v>0</v>
      </c>
      <c r="H12" s="190">
        <f>+'NEW...Tables 91-112'!B14+'NEW...Tables 91-112'!C14</f>
        <v>0</v>
      </c>
      <c r="I12" s="192">
        <f>+'NEW...Tables 91-112'!B262+'NEW...Tables 91-112'!C262</f>
        <v>0</v>
      </c>
      <c r="J12" s="187">
        <f>+'NEW...Tables 91-112'!B293+'NEW...Tables 91-112'!C293</f>
        <v>0</v>
      </c>
      <c r="K12" s="187">
        <f>+'NEW...Tables 91-112'!B324+'NEW...Tables 91-112'!C324</f>
        <v>0</v>
      </c>
      <c r="L12" s="187">
        <f>+'NEW...Tables 91-112'!B354+'NEW...Tables 91-112'!C354</f>
        <v>0</v>
      </c>
      <c r="M12" s="192">
        <f>+'NEW...Tables 91-112'!B231+'NEW...Tables 91-112'!C231</f>
        <v>0</v>
      </c>
      <c r="N12" s="195">
        <f>+'NEW...Tables 91-112'!B415+'NEW...Tables 91-112'!C415</f>
        <v>79.379159441746012</v>
      </c>
      <c r="O12" s="197">
        <f>+'NEW...Tables 91-112'!B445+'NEW...Tables 91-112'!C445</f>
        <v>83.608487410697563</v>
      </c>
      <c r="P12" s="200">
        <f>+'NEW...Tables 91-112'!B385+'NEW...Tables 91-112'!C385</f>
        <v>79.412985733511661</v>
      </c>
    </row>
    <row r="13" spans="1:33">
      <c r="A13" s="40" t="s">
        <v>658</v>
      </c>
      <c r="B13" s="187">
        <f>+'NEW...Tables 91-112'!B47+'NEW...Tables 91-112'!C47</f>
        <v>95.700936380926265</v>
      </c>
      <c r="C13" s="187">
        <f>+'NEW...Tables 91-112'!B78+'NEW...Tables 91-112'!C78</f>
        <v>0</v>
      </c>
      <c r="D13" s="187">
        <f>+'NEW...Tables 91-112'!B109+'NEW...Tables 91-112'!C109</f>
        <v>85.55893228953785</v>
      </c>
      <c r="E13" s="187">
        <f>+'NEW...Tables 91-112'!B140+'NEW...Tables 91-112'!C140</f>
        <v>89.875987942644741</v>
      </c>
      <c r="F13" s="187">
        <f>+'NEW...Tables 91-112'!B170+'NEW...Tables 91-112'!C170</f>
        <v>0</v>
      </c>
      <c r="G13" s="187">
        <f>+'NEW...Tables 91-112'!B201+'NEW...Tables 91-112'!C201</f>
        <v>0</v>
      </c>
      <c r="H13" s="190">
        <f>+'NEW...Tables 91-112'!B15+'NEW...Tables 91-112'!C15</f>
        <v>89.896437623232032</v>
      </c>
      <c r="I13" s="192">
        <f>+'NEW...Tables 91-112'!B263+'NEW...Tables 91-112'!C263</f>
        <v>0</v>
      </c>
      <c r="J13" s="187">
        <f>+'NEW...Tables 91-112'!B294+'NEW...Tables 91-112'!C294</f>
        <v>78.503059499814711</v>
      </c>
      <c r="K13" s="187">
        <f>+'NEW...Tables 91-112'!B325+'NEW...Tables 91-112'!C325</f>
        <v>70.905955119815957</v>
      </c>
      <c r="L13" s="187">
        <f>+'NEW...Tables 91-112'!B355+'NEW...Tables 91-112'!C355</f>
        <v>71.92596597500355</v>
      </c>
      <c r="M13" s="192">
        <f>+'NEW...Tables 91-112'!B232+'NEW...Tables 91-112'!C232</f>
        <v>73.521247394075289</v>
      </c>
      <c r="N13" s="195">
        <f>+'NEW...Tables 91-112'!B416+'NEW...Tables 91-112'!C416</f>
        <v>92.459264322017248</v>
      </c>
      <c r="O13" s="197">
        <f>+'NEW...Tables 91-112'!B446+'NEW...Tables 91-112'!C446</f>
        <v>0</v>
      </c>
      <c r="P13" s="200">
        <f>+'NEW...Tables 91-112'!B386+'NEW...Tables 91-112'!C386</f>
        <v>92.459264322017248</v>
      </c>
    </row>
    <row r="14" spans="1:33">
      <c r="A14" s="40" t="s">
        <v>659</v>
      </c>
      <c r="B14" s="187">
        <f>+'NEW...Tables 91-112'!B48+'NEW...Tables 91-112'!C48</f>
        <v>0</v>
      </c>
      <c r="C14" s="187">
        <f>+'NEW...Tables 91-112'!B79+'NEW...Tables 91-112'!C79</f>
        <v>0</v>
      </c>
      <c r="D14" s="187">
        <f>+'NEW...Tables 91-112'!B110+'NEW...Tables 91-112'!C110</f>
        <v>0</v>
      </c>
      <c r="E14" s="187">
        <f>+'NEW...Tables 91-112'!B141+'NEW...Tables 91-112'!C141</f>
        <v>0</v>
      </c>
      <c r="F14" s="187">
        <f>+'NEW...Tables 91-112'!B171+'NEW...Tables 91-112'!C171</f>
        <v>0</v>
      </c>
      <c r="G14" s="187">
        <f>+'NEW...Tables 91-112'!B202+'NEW...Tables 91-112'!C202</f>
        <v>0</v>
      </c>
      <c r="H14" s="190">
        <f>+'NEW...Tables 91-112'!B16+'NEW...Tables 91-112'!C16</f>
        <v>0</v>
      </c>
      <c r="I14" s="192">
        <f>+'NEW...Tables 91-112'!B264+'NEW...Tables 91-112'!C264</f>
        <v>0</v>
      </c>
      <c r="J14" s="187">
        <f>+'NEW...Tables 91-112'!B295+'NEW...Tables 91-112'!C295</f>
        <v>0</v>
      </c>
      <c r="K14" s="187">
        <f>+'NEW...Tables 91-112'!B326+'NEW...Tables 91-112'!C326</f>
        <v>0</v>
      </c>
      <c r="L14" s="187">
        <f>+'NEW...Tables 91-112'!B356+'NEW...Tables 91-112'!C356</f>
        <v>0</v>
      </c>
      <c r="M14" s="192">
        <f>+'NEW...Tables 91-112'!B233+'NEW...Tables 91-112'!C233</f>
        <v>0</v>
      </c>
      <c r="N14" s="195">
        <f>+'NEW...Tables 91-112'!B417+'NEW...Tables 91-112'!C417</f>
        <v>0</v>
      </c>
      <c r="O14" s="197">
        <f>+'NEW...Tables 91-112'!B447+'NEW...Tables 91-112'!C447</f>
        <v>0</v>
      </c>
      <c r="P14" s="200">
        <f>+'NEW...Tables 91-112'!B387+'NEW...Tables 91-112'!C387</f>
        <v>0</v>
      </c>
    </row>
    <row r="15" spans="1:33">
      <c r="A15" s="40" t="s">
        <v>660</v>
      </c>
      <c r="B15" s="187">
        <f>+'NEW...Tables 91-112'!B49+'NEW...Tables 91-112'!C49</f>
        <v>98.615646794741863</v>
      </c>
      <c r="C15" s="187">
        <f>+'NEW...Tables 91-112'!B80+'NEW...Tables 91-112'!C80</f>
        <v>92.363831065644462</v>
      </c>
      <c r="D15" s="187">
        <f>+'NEW...Tables 91-112'!B111+'NEW...Tables 91-112'!C111</f>
        <v>96.245868980449472</v>
      </c>
      <c r="E15" s="187">
        <f>+'NEW...Tables 91-112'!B142+'NEW...Tables 91-112'!C142</f>
        <v>92.101218775892136</v>
      </c>
      <c r="F15" s="187">
        <f>+'NEW...Tables 91-112'!B172+'NEW...Tables 91-112'!C172</f>
        <v>0</v>
      </c>
      <c r="G15" s="187">
        <f>+'NEW...Tables 91-112'!B203+'NEW...Tables 91-112'!C203</f>
        <v>100</v>
      </c>
      <c r="H15" s="190">
        <f>+'NEW...Tables 91-112'!B17+'NEW...Tables 91-112'!C17</f>
        <v>83.986040761886699</v>
      </c>
      <c r="I15" s="192">
        <f>+'NEW...Tables 91-112'!B265+'NEW...Tables 91-112'!C265</f>
        <v>0</v>
      </c>
      <c r="J15" s="187">
        <f>+'NEW...Tables 91-112'!B296+'NEW...Tables 91-112'!C296</f>
        <v>88.812950964815656</v>
      </c>
      <c r="K15" s="187">
        <f>+'NEW...Tables 91-112'!B327+'NEW...Tables 91-112'!C327</f>
        <v>84.723140918306044</v>
      </c>
      <c r="L15" s="187">
        <f>+'NEW...Tables 91-112'!B357+'NEW...Tables 91-112'!C357</f>
        <v>85.965891059188337</v>
      </c>
      <c r="M15" s="192">
        <f>+'NEW...Tables 91-112'!B234+'NEW...Tables 91-112'!C234</f>
        <v>87.209654857876274</v>
      </c>
      <c r="N15" s="195">
        <f>+'NEW...Tables 91-112'!B418+'NEW...Tables 91-112'!C418</f>
        <v>0</v>
      </c>
      <c r="O15" s="197">
        <f>+'NEW...Tables 91-112'!B448+'NEW...Tables 91-112'!C448</f>
        <v>0</v>
      </c>
      <c r="P15" s="200">
        <f>+'NEW...Tables 91-112'!B388+'NEW...Tables 91-112'!C388</f>
        <v>0</v>
      </c>
    </row>
    <row r="16" spans="1:33">
      <c r="A16" s="40"/>
      <c r="B16" s="187"/>
      <c r="C16" s="187"/>
      <c r="D16" s="187"/>
      <c r="E16" s="187"/>
      <c r="F16" s="187"/>
      <c r="G16" s="187"/>
      <c r="H16" s="190"/>
      <c r="I16" s="192"/>
      <c r="J16" s="187"/>
      <c r="K16" s="187"/>
      <c r="L16" s="187"/>
      <c r="M16" s="192"/>
      <c r="N16" s="195"/>
      <c r="O16" s="197"/>
      <c r="P16" s="200"/>
    </row>
    <row r="17" spans="1:40" ht="15.75" customHeight="1">
      <c r="A17" s="40" t="s">
        <v>661</v>
      </c>
      <c r="B17" s="187">
        <f>+'NEW...Tables 91-112'!B51+'NEW...Tables 91-112'!C51</f>
        <v>92.618432895143116</v>
      </c>
      <c r="C17" s="187">
        <f>+'NEW...Tables 91-112'!B82+'NEW...Tables 91-112'!C82</f>
        <v>96.40908504256069</v>
      </c>
      <c r="D17" s="187">
        <f>+'NEW...Tables 91-112'!B113+'NEW...Tables 91-112'!C113</f>
        <v>0</v>
      </c>
      <c r="E17" s="187">
        <f>+'NEW...Tables 91-112'!B144+'NEW...Tables 91-112'!C144</f>
        <v>86.540853236641354</v>
      </c>
      <c r="F17" s="187">
        <f>+'NEW...Tables 91-112'!B174+'NEW...Tables 91-112'!C174</f>
        <v>69.584602691038327</v>
      </c>
      <c r="G17" s="187">
        <f>+'NEW...Tables 91-112'!B205+'NEW...Tables 91-112'!C205</f>
        <v>0</v>
      </c>
      <c r="H17" s="190">
        <f>+'NEW...Tables 91-112'!B19+'NEW...Tables 91-112'!C19</f>
        <v>92.218709300345623</v>
      </c>
      <c r="I17" s="192">
        <f>+'NEW...Tables 91-112'!B267+'NEW...Tables 91-112'!C267</f>
        <v>0</v>
      </c>
      <c r="J17" s="187">
        <f>+'NEW...Tables 91-112'!B298+'NEW...Tables 91-112'!C298</f>
        <v>79.418558883547462</v>
      </c>
      <c r="K17" s="187">
        <f>+'NEW...Tables 91-112'!B329+'NEW...Tables 91-112'!C329</f>
        <v>83.587410786165279</v>
      </c>
      <c r="L17" s="187">
        <f>+'NEW...Tables 91-112'!B359+'NEW...Tables 91-112'!C359</f>
        <v>90.252716599358834</v>
      </c>
      <c r="M17" s="192">
        <f>+'NEW...Tables 91-112'!B236+'NEW...Tables 91-112'!C236</f>
        <v>81.98158044404866</v>
      </c>
      <c r="N17" s="195">
        <f>+'NEW...Tables 91-112'!B420+'NEW...Tables 91-112'!C420</f>
        <v>0</v>
      </c>
      <c r="O17" s="197">
        <f>+'NEW...Tables 91-112'!B450+'NEW...Tables 91-112'!C450</f>
        <v>0</v>
      </c>
      <c r="P17" s="200">
        <f>+'NEW...Tables 91-112'!B390+'NEW...Tables 91-112'!C390</f>
        <v>0</v>
      </c>
    </row>
    <row r="18" spans="1:40" ht="15.75" customHeight="1">
      <c r="A18" s="40" t="s">
        <v>662</v>
      </c>
      <c r="B18" s="187">
        <f>+'NEW...Tables 91-112'!B52+'NEW...Tables 91-112'!C52</f>
        <v>93.04148592569075</v>
      </c>
      <c r="C18" s="187">
        <f>+'NEW...Tables 91-112'!B83+'NEW...Tables 91-112'!C83</f>
        <v>91.321379470395598</v>
      </c>
      <c r="D18" s="187">
        <f>+'NEW...Tables 91-112'!B114+'NEW...Tables 91-112'!C114</f>
        <v>92.013126188198541</v>
      </c>
      <c r="E18" s="187">
        <f>+'NEW...Tables 91-112'!B145+'NEW...Tables 91-112'!C145</f>
        <v>84.759958295645205</v>
      </c>
      <c r="F18" s="187">
        <f>+'NEW...Tables 91-112'!B175+'NEW...Tables 91-112'!C175</f>
        <v>84.880471812581675</v>
      </c>
      <c r="G18" s="187">
        <f>+'NEW...Tables 91-112'!B206+'NEW...Tables 91-112'!C206</f>
        <v>92.570463568310643</v>
      </c>
      <c r="H18" s="190">
        <f>+'NEW...Tables 91-112'!B20+'NEW...Tables 91-112'!C20</f>
        <v>91.451852590393258</v>
      </c>
      <c r="I18" s="192">
        <f>+'NEW...Tables 91-112'!B268+'NEW...Tables 91-112'!C268</f>
        <v>0</v>
      </c>
      <c r="J18" s="187">
        <f>+'NEW...Tables 91-112'!B299+'NEW...Tables 91-112'!C299</f>
        <v>78.738475691788224</v>
      </c>
      <c r="K18" s="187">
        <f>+'NEW...Tables 91-112'!B330+'NEW...Tables 91-112'!C330</f>
        <v>76.593908252604635</v>
      </c>
      <c r="L18" s="187">
        <f>+'NEW...Tables 91-112'!B360+'NEW...Tables 91-112'!C360</f>
        <v>75.414063823778591</v>
      </c>
      <c r="M18" s="192">
        <f>+'NEW...Tables 91-112'!B237+'NEW...Tables 91-112'!C237</f>
        <v>77.35839969057389</v>
      </c>
      <c r="N18" s="195">
        <f>+'NEW...Tables 91-112'!B421+'NEW...Tables 91-112'!C421</f>
        <v>0</v>
      </c>
      <c r="O18" s="197">
        <f>+'NEW...Tables 91-112'!B451+'NEW...Tables 91-112'!C451</f>
        <v>0</v>
      </c>
      <c r="P18" s="200">
        <f>+'NEW...Tables 91-112'!B391+'NEW...Tables 91-112'!C391</f>
        <v>0</v>
      </c>
    </row>
    <row r="19" spans="1:40" ht="15.75" customHeight="1">
      <c r="A19" s="40" t="s">
        <v>663</v>
      </c>
      <c r="B19" s="187">
        <f>+'NEW...Tables 91-112'!B53+'NEW...Tables 91-112'!C53</f>
        <v>92.172991394988756</v>
      </c>
      <c r="C19" s="187">
        <f>+'NEW...Tables 91-112'!B84+'NEW...Tables 91-112'!C84</f>
        <v>0</v>
      </c>
      <c r="D19" s="187">
        <f>+'NEW...Tables 91-112'!B115+'NEW...Tables 91-112'!C115</f>
        <v>91.875484144593173</v>
      </c>
      <c r="E19" s="187">
        <f>+'NEW...Tables 91-112'!B146+'NEW...Tables 91-112'!C146</f>
        <v>0</v>
      </c>
      <c r="F19" s="187">
        <f>+'NEW...Tables 91-112'!B176+'NEW...Tables 91-112'!C176</f>
        <v>83.572581969456465</v>
      </c>
      <c r="G19" s="187">
        <f>+'NEW...Tables 91-112'!B207+'NEW...Tables 91-112'!C207</f>
        <v>79.001450176092817</v>
      </c>
      <c r="H19" s="190">
        <f>+'NEW...Tables 91-112'!B21+'NEW...Tables 91-112'!C21</f>
        <v>89.076112669145971</v>
      </c>
      <c r="I19" s="192">
        <f>+'NEW...Tables 91-112'!B269+'NEW...Tables 91-112'!C269</f>
        <v>93.840796842388045</v>
      </c>
      <c r="J19" s="187">
        <f>+'NEW...Tables 91-112'!B300+'NEW...Tables 91-112'!C300</f>
        <v>80.323612190865973</v>
      </c>
      <c r="K19" s="187">
        <f>+'NEW...Tables 91-112'!B331+'NEW...Tables 91-112'!C331</f>
        <v>75.662447833157074</v>
      </c>
      <c r="L19" s="187">
        <f>+'NEW...Tables 91-112'!B361+'NEW...Tables 91-112'!C361</f>
        <v>68.559474132902594</v>
      </c>
      <c r="M19" s="192">
        <f>+'NEW...Tables 91-112'!B238+'NEW...Tables 91-112'!C238</f>
        <v>76.65007801250411</v>
      </c>
      <c r="N19" s="195">
        <f>+'NEW...Tables 91-112'!B422+'NEW...Tables 91-112'!C422</f>
        <v>0</v>
      </c>
      <c r="O19" s="197">
        <f>+'NEW...Tables 91-112'!B452+'NEW...Tables 91-112'!C452</f>
        <v>0</v>
      </c>
      <c r="P19" s="200">
        <f>+'NEW...Tables 91-112'!B392+'NEW...Tables 91-112'!C392</f>
        <v>0</v>
      </c>
    </row>
    <row r="20" spans="1:40" ht="15.75" customHeight="1">
      <c r="A20" s="40" t="s">
        <v>664</v>
      </c>
      <c r="B20" s="187">
        <f>+'NEW...Tables 91-112'!B54+'NEW...Tables 91-112'!C54</f>
        <v>96.115527127639197</v>
      </c>
      <c r="C20" s="187">
        <f>+'NEW...Tables 91-112'!B85+'NEW...Tables 91-112'!C85</f>
        <v>0</v>
      </c>
      <c r="D20" s="187">
        <f>+'NEW...Tables 91-112'!B116+'NEW...Tables 91-112'!C116</f>
        <v>99.928828788754956</v>
      </c>
      <c r="E20" s="187">
        <f>+'NEW...Tables 91-112'!B147+'NEW...Tables 91-112'!C147</f>
        <v>99.744981135590848</v>
      </c>
      <c r="F20" s="187">
        <f>+'NEW...Tables 91-112'!B177+'NEW...Tables 91-112'!C177</f>
        <v>97.765087926362085</v>
      </c>
      <c r="G20" s="187">
        <f>+'NEW...Tables 91-112'!B208+'NEW...Tables 91-112'!C208</f>
        <v>94.118305777868713</v>
      </c>
      <c r="H20" s="190">
        <f>+'NEW...Tables 91-112'!B22+'NEW...Tables 91-112'!C22</f>
        <v>96.940893620251401</v>
      </c>
      <c r="I20" s="192">
        <f>+'NEW...Tables 91-112'!B270+'NEW...Tables 91-112'!C270</f>
        <v>0</v>
      </c>
      <c r="J20" s="187">
        <f>+'NEW...Tables 91-112'!B301+'NEW...Tables 91-112'!C301</f>
        <v>78.239766830690058</v>
      </c>
      <c r="K20" s="187">
        <f>+'NEW...Tables 91-112'!B332+'NEW...Tables 91-112'!C332</f>
        <v>79.430770543799539</v>
      </c>
      <c r="L20" s="187">
        <f>+'NEW...Tables 91-112'!B362+'NEW...Tables 91-112'!C362</f>
        <v>87.156146123058136</v>
      </c>
      <c r="M20" s="192">
        <f>+'NEW...Tables 91-112'!B239+'NEW...Tables 91-112'!C239</f>
        <v>79.705301598401434</v>
      </c>
      <c r="N20" s="195">
        <f>+'NEW...Tables 91-112'!B423+'NEW...Tables 91-112'!C423</f>
        <v>0</v>
      </c>
      <c r="O20" s="197">
        <f>+'NEW...Tables 91-112'!B453+'NEW...Tables 91-112'!C453</f>
        <v>0</v>
      </c>
      <c r="P20" s="200">
        <f>+'NEW...Tables 91-112'!B393+'NEW...Tables 91-112'!C393</f>
        <v>0</v>
      </c>
    </row>
    <row r="21" spans="1:40" ht="15.75" customHeight="1">
      <c r="A21" s="40"/>
      <c r="B21" s="187"/>
      <c r="C21" s="187"/>
      <c r="D21" s="187"/>
      <c r="E21" s="187"/>
      <c r="F21" s="187"/>
      <c r="G21" s="187"/>
      <c r="H21" s="190"/>
      <c r="I21" s="192"/>
      <c r="J21" s="187"/>
      <c r="K21" s="187"/>
      <c r="L21" s="187"/>
      <c r="M21" s="192"/>
      <c r="N21" s="195"/>
      <c r="O21" s="197"/>
      <c r="P21" s="200"/>
    </row>
    <row r="22" spans="1:40" ht="15.75" customHeight="1">
      <c r="A22" s="40" t="s">
        <v>665</v>
      </c>
      <c r="B22" s="187">
        <f>+'NEW...Tables 91-112'!B56+'NEW...Tables 91-112'!C56</f>
        <v>85.63975205443495</v>
      </c>
      <c r="C22" s="187">
        <f>+'NEW...Tables 91-112'!B87+'NEW...Tables 91-112'!C87</f>
        <v>0</v>
      </c>
      <c r="D22" s="187">
        <f>+'NEW...Tables 91-112'!B118+'NEW...Tables 91-112'!C118</f>
        <v>86.285543855364537</v>
      </c>
      <c r="E22" s="187">
        <f>+'NEW...Tables 91-112'!B149+'NEW...Tables 91-112'!C149</f>
        <v>0</v>
      </c>
      <c r="F22" s="187">
        <f>+'NEW...Tables 91-112'!B179+'NEW...Tables 91-112'!C179</f>
        <v>93.792637693699788</v>
      </c>
      <c r="G22" s="187">
        <f>+'NEW...Tables 91-112'!B210+'NEW...Tables 91-112'!C210</f>
        <v>0</v>
      </c>
      <c r="H22" s="190">
        <f>+'NEW...Tables 91-112'!B24+'NEW...Tables 91-112'!C24</f>
        <v>86.543939818862697</v>
      </c>
      <c r="I22" s="192">
        <f>+'NEW...Tables 91-112'!B272+'NEW...Tables 91-112'!C272</f>
        <v>0</v>
      </c>
      <c r="J22" s="187">
        <f>+'NEW...Tables 91-112'!B303+'NEW...Tables 91-112'!C303</f>
        <v>79.421782454184381</v>
      </c>
      <c r="K22" s="187">
        <f>+'NEW...Tables 91-112'!B334+'NEW...Tables 91-112'!C334</f>
        <v>75.183158303315849</v>
      </c>
      <c r="L22" s="187">
        <f>+'NEW...Tables 91-112'!B364+'NEW...Tables 91-112'!C364</f>
        <v>76.886895946464819</v>
      </c>
      <c r="M22" s="192">
        <f>+'NEW...Tables 91-112'!B241+'NEW...Tables 91-112'!C241</f>
        <v>76.77724020689989</v>
      </c>
      <c r="N22" s="195">
        <f>+'NEW...Tables 91-112'!B425+'NEW...Tables 91-112'!C425</f>
        <v>0</v>
      </c>
      <c r="O22" s="197">
        <f>+'NEW...Tables 91-112'!B455+'NEW...Tables 91-112'!C455</f>
        <v>0</v>
      </c>
      <c r="P22" s="200">
        <f>+'NEW...Tables 91-112'!B395+'NEW...Tables 91-112'!C395</f>
        <v>0</v>
      </c>
    </row>
    <row r="23" spans="1:40" ht="15.75" customHeight="1">
      <c r="A23" s="40" t="s">
        <v>666</v>
      </c>
      <c r="B23" s="187">
        <f>+'NEW...Tables 91-112'!B57+'NEW...Tables 91-112'!C57</f>
        <v>92.773712010948771</v>
      </c>
      <c r="C23" s="187">
        <f>+'NEW...Tables 91-112'!B88+'NEW...Tables 91-112'!C88</f>
        <v>93.025314173271553</v>
      </c>
      <c r="D23" s="187">
        <f>+'NEW...Tables 91-112'!B119+'NEW...Tables 91-112'!C119</f>
        <v>92.528464851035579</v>
      </c>
      <c r="E23" s="187">
        <f>+'NEW...Tables 91-112'!B150+'NEW...Tables 91-112'!C150</f>
        <v>62.897414158541764</v>
      </c>
      <c r="F23" s="187">
        <f>+'NEW...Tables 91-112'!B180+'NEW...Tables 91-112'!C180</f>
        <v>82.526487656840658</v>
      </c>
      <c r="G23" s="187">
        <f>+'NEW...Tables 91-112'!B211+'NEW...Tables 91-112'!C211</f>
        <v>99.987874133505798</v>
      </c>
      <c r="H23" s="190">
        <f>+'NEW...Tables 91-112'!B25+'NEW...Tables 91-112'!C25</f>
        <v>92.069971812333321</v>
      </c>
      <c r="I23" s="192">
        <f>+'NEW...Tables 91-112'!B273+'NEW...Tables 91-112'!C273</f>
        <v>82.778108984555672</v>
      </c>
      <c r="J23" s="187">
        <f>+'NEW...Tables 91-112'!B304+'NEW...Tables 91-112'!C304</f>
        <v>82.712786771389148</v>
      </c>
      <c r="K23" s="187">
        <f>+'NEW...Tables 91-112'!B335+'NEW...Tables 91-112'!C335</f>
        <v>81.75790913384472</v>
      </c>
      <c r="L23" s="187">
        <f>+'NEW...Tables 91-112'!B365+'NEW...Tables 91-112'!C365</f>
        <v>77.561816156174132</v>
      </c>
      <c r="M23" s="192">
        <f>+'NEW...Tables 91-112'!B242+'NEW...Tables 91-112'!C242</f>
        <v>82.364251061089135</v>
      </c>
      <c r="N23" s="195">
        <f>+'NEW...Tables 91-112'!B426+'NEW...Tables 91-112'!C426</f>
        <v>0</v>
      </c>
      <c r="O23" s="197">
        <f>+'NEW...Tables 91-112'!B456+'NEW...Tables 91-112'!C456</f>
        <v>0</v>
      </c>
      <c r="P23" s="200">
        <f>+'NEW...Tables 91-112'!B396+'NEW...Tables 91-112'!C396</f>
        <v>0</v>
      </c>
    </row>
    <row r="24" spans="1:40" ht="15.75" customHeight="1">
      <c r="A24" s="40" t="s">
        <v>667</v>
      </c>
      <c r="B24" s="187">
        <f>+'NEW...Tables 91-112'!B58+'NEW...Tables 91-112'!C58</f>
        <v>96.128329672424783</v>
      </c>
      <c r="C24" s="187">
        <f>+'NEW...Tables 91-112'!B89+'NEW...Tables 91-112'!C89</f>
        <v>98.094886396290534</v>
      </c>
      <c r="D24" s="187">
        <f>+'NEW...Tables 91-112'!B120+'NEW...Tables 91-112'!C120</f>
        <v>97.190201729106633</v>
      </c>
      <c r="E24" s="187">
        <f>+'NEW...Tables 91-112'!B151+'NEW...Tables 91-112'!C151</f>
        <v>97.985432678330667</v>
      </c>
      <c r="F24" s="187">
        <f>+'NEW...Tables 91-112'!B181+'NEW...Tables 91-112'!C181</f>
        <v>97.831062752768389</v>
      </c>
      <c r="G24" s="187">
        <f>+'NEW...Tables 91-112'!B212+'NEW...Tables 91-112'!C212</f>
        <v>96.015016679719778</v>
      </c>
      <c r="H24" s="190">
        <f>+'NEW...Tables 91-112'!B26+'NEW...Tables 91-112'!C26</f>
        <v>96.943973335036674</v>
      </c>
      <c r="I24" s="192">
        <f>+'NEW...Tables 91-112'!B274+'NEW...Tables 91-112'!C274</f>
        <v>0</v>
      </c>
      <c r="J24" s="187">
        <f>+'NEW...Tables 91-112'!B305+'NEW...Tables 91-112'!C305</f>
        <v>77.436224828585836</v>
      </c>
      <c r="K24" s="187">
        <f>+'NEW...Tables 91-112'!B336+'NEW...Tables 91-112'!C336</f>
        <v>77.821809681459541</v>
      </c>
      <c r="L24" s="187">
        <f>+'NEW...Tables 91-112'!B366+'NEW...Tables 91-112'!C366</f>
        <v>67.29311604991743</v>
      </c>
      <c r="M24" s="192">
        <f>+'NEW...Tables 91-112'!B243+'NEW...Tables 91-112'!C243</f>
        <v>76.373091566225568</v>
      </c>
      <c r="N24" s="195">
        <f>+'NEW...Tables 91-112'!B427+'NEW...Tables 91-112'!C427</f>
        <v>0</v>
      </c>
      <c r="O24" s="197">
        <f>+'NEW...Tables 91-112'!B457+'NEW...Tables 91-112'!C457</f>
        <v>0</v>
      </c>
      <c r="P24" s="200">
        <f>+'NEW...Tables 91-112'!B397+'NEW...Tables 91-112'!C397</f>
        <v>0</v>
      </c>
      <c r="R24" s="243"/>
      <c r="S24" s="243"/>
      <c r="T24" s="243"/>
      <c r="U24" s="243"/>
      <c r="V24" s="243"/>
      <c r="W24" s="243"/>
      <c r="X24" s="243"/>
      <c r="Y24" s="243"/>
    </row>
    <row r="25" spans="1:40" ht="15.75" customHeight="1">
      <c r="A25" s="57" t="s">
        <v>668</v>
      </c>
      <c r="B25" s="188">
        <f>+'NEW...Tables 91-112'!B59+'NEW...Tables 91-112'!C59</f>
        <v>93.464375882184711</v>
      </c>
      <c r="C25" s="188">
        <f>+'NEW...Tables 91-112'!B90+'NEW...Tables 91-112'!C90</f>
        <v>0</v>
      </c>
      <c r="D25" s="188">
        <f>+'NEW...Tables 91-112'!B121+'NEW...Tables 91-112'!C121</f>
        <v>86.999022482893452</v>
      </c>
      <c r="E25" s="188">
        <f>+'NEW...Tables 91-112'!B152+'NEW...Tables 91-112'!C152</f>
        <v>0</v>
      </c>
      <c r="F25" s="188">
        <f>+'NEW...Tables 91-112'!B182+'NEW...Tables 91-112'!C182</f>
        <v>93.108412919326199</v>
      </c>
      <c r="G25" s="188">
        <f>+'NEW...Tables 91-112'!B213+'NEW...Tables 91-112'!C213</f>
        <v>89.066427681479368</v>
      </c>
      <c r="H25" s="191">
        <f>+'NEW...Tables 91-112'!B27+'NEW...Tables 91-112'!C27</f>
        <v>91.202161206501856</v>
      </c>
      <c r="I25" s="193">
        <f>+'NEW...Tables 91-112'!B275+'NEW...Tables 91-112'!C275</f>
        <v>81.862061138519664</v>
      </c>
      <c r="J25" s="188">
        <f>+'NEW...Tables 91-112'!B306+'NEW...Tables 91-112'!C306</f>
        <v>0</v>
      </c>
      <c r="K25" s="188">
        <f>+'NEW...Tables 91-112'!B337+'NEW...Tables 91-112'!C337</f>
        <v>0</v>
      </c>
      <c r="L25" s="188">
        <f>+'NEW...Tables 91-112'!B367+'NEW...Tables 91-112'!C367</f>
        <v>82.785781886008834</v>
      </c>
      <c r="M25" s="193">
        <f>+'NEW...Tables 91-112'!B244+'NEW...Tables 91-112'!C244</f>
        <v>82.54931014504642</v>
      </c>
      <c r="N25" s="196">
        <f>+'NEW...Tables 91-112'!B428+'NEW...Tables 91-112'!C428</f>
        <v>0</v>
      </c>
      <c r="O25" s="198">
        <f>+'NEW...Tables 91-112'!B458+'NEW...Tables 91-112'!C458</f>
        <v>0</v>
      </c>
      <c r="P25" s="201">
        <f>+'NEW...Tables 91-112'!B398+'NEW...Tables 91-112'!C398</f>
        <v>0</v>
      </c>
      <c r="R25" s="257"/>
      <c r="S25" s="257"/>
      <c r="T25" s="257"/>
      <c r="U25" s="258"/>
      <c r="V25" s="258"/>
      <c r="W25" s="258"/>
      <c r="X25" s="243"/>
      <c r="Y25" s="243"/>
    </row>
    <row r="26" spans="1:40" s="59" customFormat="1" ht="13.5" customHeight="1">
      <c r="A26" s="58" t="s">
        <v>669</v>
      </c>
      <c r="H26" s="60"/>
      <c r="J26" s="61"/>
      <c r="M26" s="61"/>
      <c r="P26" s="60"/>
      <c r="R26" s="60"/>
      <c r="S26" s="60"/>
      <c r="T26" s="60"/>
      <c r="U26" s="60"/>
      <c r="V26" s="60"/>
      <c r="W26" s="60"/>
      <c r="X26" s="60"/>
      <c r="Y26" s="60"/>
    </row>
    <row r="27" spans="1:40" s="59" customFormat="1" ht="11.25">
      <c r="A27" s="62"/>
      <c r="H27" s="60"/>
      <c r="J27" s="61"/>
      <c r="M27" s="61"/>
      <c r="P27" s="60"/>
      <c r="R27" s="60"/>
      <c r="S27" s="60"/>
      <c r="T27" s="60"/>
      <c r="U27" s="60"/>
      <c r="V27" s="60"/>
      <c r="W27" s="60"/>
      <c r="X27" s="60"/>
      <c r="Y27" s="60"/>
    </row>
    <row r="28" spans="1:40" s="59" customFormat="1" ht="11.25">
      <c r="H28" s="60"/>
      <c r="M28" s="63"/>
      <c r="P28" s="64" t="s">
        <v>1034</v>
      </c>
      <c r="R28" s="60"/>
      <c r="S28" s="60"/>
      <c r="T28" s="60"/>
      <c r="U28" s="60"/>
      <c r="V28" s="60"/>
      <c r="W28" s="60"/>
      <c r="X28" s="60"/>
      <c r="Y28" s="60"/>
    </row>
    <row r="29" spans="1:40" ht="18">
      <c r="A29" s="631" t="s">
        <v>670</v>
      </c>
      <c r="B29" s="631"/>
      <c r="C29" s="631"/>
      <c r="D29" s="631"/>
      <c r="E29" s="631"/>
      <c r="F29" s="631"/>
      <c r="G29" s="631"/>
      <c r="H29" s="631"/>
      <c r="I29" s="631"/>
      <c r="J29" s="631"/>
      <c r="K29" s="631"/>
      <c r="L29" s="631"/>
      <c r="M29" s="631"/>
      <c r="N29" s="631"/>
      <c r="O29" s="631"/>
      <c r="P29" s="631"/>
      <c r="R29" s="243"/>
      <c r="S29" s="243"/>
      <c r="T29" s="243"/>
      <c r="U29" s="243"/>
      <c r="V29" s="243"/>
      <c r="W29" s="243"/>
      <c r="X29" s="243"/>
      <c r="Y29" s="243"/>
    </row>
    <row r="30" spans="1:40" s="40" customFormat="1" ht="12.75">
      <c r="A30" s="37"/>
      <c r="B30" s="36"/>
      <c r="C30" s="36"/>
      <c r="D30" s="36"/>
      <c r="E30" s="36"/>
      <c r="F30" s="36"/>
      <c r="G30" s="36"/>
      <c r="H30" s="38"/>
      <c r="I30" s="36"/>
      <c r="J30" s="36"/>
      <c r="K30" s="36"/>
      <c r="L30" s="36"/>
      <c r="M30" s="39"/>
      <c r="P30" s="65"/>
      <c r="R30" s="65"/>
      <c r="S30" s="65"/>
      <c r="T30" s="65"/>
      <c r="U30" s="65"/>
      <c r="V30" s="65"/>
      <c r="W30" s="65"/>
      <c r="X30" s="65"/>
      <c r="Y30" s="65"/>
    </row>
    <row r="31" spans="1:40" ht="15.75">
      <c r="A31" s="632" t="s">
        <v>1008</v>
      </c>
      <c r="B31" s="632"/>
      <c r="C31" s="632"/>
      <c r="D31" s="632"/>
      <c r="E31" s="632"/>
      <c r="F31" s="632"/>
      <c r="G31" s="632"/>
      <c r="H31" s="632"/>
      <c r="I31" s="632"/>
      <c r="J31" s="632"/>
      <c r="K31" s="632"/>
      <c r="L31" s="632"/>
      <c r="M31" s="632"/>
      <c r="N31" s="632"/>
      <c r="O31" s="632"/>
      <c r="P31" s="632"/>
      <c r="Q31" s="67"/>
      <c r="R31" s="259"/>
      <c r="S31" s="118"/>
      <c r="T31" s="118"/>
      <c r="U31" s="118"/>
      <c r="V31" s="118"/>
      <c r="W31" s="118"/>
      <c r="X31" s="118"/>
      <c r="Y31" s="118"/>
      <c r="Z31" s="242"/>
      <c r="AA31" s="242"/>
      <c r="AB31" s="242"/>
    </row>
    <row r="32" spans="1:40" s="40" customFormat="1" ht="9.75" customHeight="1">
      <c r="A32" s="246"/>
      <c r="B32" s="36"/>
      <c r="C32" s="36"/>
      <c r="D32" s="36"/>
      <c r="E32" s="36"/>
      <c r="F32" s="36"/>
      <c r="G32" s="36"/>
      <c r="H32" s="38"/>
      <c r="I32" s="36"/>
      <c r="J32" s="36"/>
      <c r="K32" s="36"/>
      <c r="L32" s="36"/>
      <c r="M32" s="39"/>
      <c r="P32" s="65"/>
      <c r="Q32" s="67"/>
      <c r="R32" s="118"/>
      <c r="S32" s="118"/>
      <c r="T32" s="118"/>
      <c r="U32" s="118"/>
      <c r="V32" s="118"/>
      <c r="W32" s="118"/>
      <c r="X32" s="118"/>
      <c r="Y32" s="118"/>
      <c r="Z32" s="67"/>
      <c r="AA32" s="67"/>
      <c r="AB32" s="67"/>
      <c r="AC32" s="67"/>
      <c r="AD32" s="67"/>
      <c r="AE32" s="67"/>
      <c r="AF32" s="67"/>
      <c r="AG32" s="67"/>
      <c r="AH32" s="67"/>
      <c r="AI32" s="67"/>
      <c r="AJ32" s="67"/>
      <c r="AK32" s="67"/>
      <c r="AL32" s="67"/>
      <c r="AM32" s="67"/>
      <c r="AN32" s="67"/>
    </row>
    <row r="33" spans="1:41" s="49" customFormat="1" ht="18" customHeight="1">
      <c r="A33" s="321"/>
      <c r="B33" s="323" t="s">
        <v>565</v>
      </c>
      <c r="C33" s="323"/>
      <c r="D33" s="323"/>
      <c r="E33" s="323"/>
      <c r="F33" s="323"/>
      <c r="G33" s="323"/>
      <c r="H33" s="106"/>
      <c r="I33" s="322" t="s">
        <v>566</v>
      </c>
      <c r="J33" s="323"/>
      <c r="K33" s="323"/>
      <c r="L33" s="323"/>
      <c r="M33" s="323"/>
      <c r="N33" s="322" t="s">
        <v>567</v>
      </c>
      <c r="O33" s="323"/>
      <c r="P33" s="96"/>
      <c r="Q33" s="255" t="s">
        <v>714</v>
      </c>
      <c r="R33" s="256"/>
      <c r="S33" s="256"/>
      <c r="T33" s="259"/>
      <c r="U33" s="259"/>
      <c r="V33" s="259"/>
      <c r="W33" s="259"/>
      <c r="X33" s="259"/>
      <c r="Y33" s="259"/>
      <c r="Z33" s="259"/>
      <c r="AA33" s="259"/>
      <c r="AB33" s="259"/>
      <c r="AC33" s="259"/>
      <c r="AD33" s="259"/>
      <c r="AE33" s="259"/>
      <c r="AF33" s="259"/>
      <c r="AG33" s="259"/>
      <c r="AH33" s="259"/>
      <c r="AI33" s="259"/>
      <c r="AJ33" s="259"/>
      <c r="AK33" s="259"/>
      <c r="AL33" s="259"/>
      <c r="AM33" s="259"/>
      <c r="AN33" s="259"/>
      <c r="AO33" s="77"/>
    </row>
    <row r="34" spans="1:41" s="56" customFormat="1" ht="26.25" customHeight="1">
      <c r="A34" s="324"/>
      <c r="B34" s="325">
        <v>1</v>
      </c>
      <c r="C34" s="325">
        <v>2</v>
      </c>
      <c r="D34" s="325">
        <v>3</v>
      </c>
      <c r="E34" s="325">
        <v>4</v>
      </c>
      <c r="F34" s="325">
        <v>5</v>
      </c>
      <c r="G34" s="325">
        <v>6</v>
      </c>
      <c r="H34" s="326" t="s">
        <v>651</v>
      </c>
      <c r="I34" s="327" t="s">
        <v>652</v>
      </c>
      <c r="J34" s="325">
        <v>1</v>
      </c>
      <c r="K34" s="325">
        <v>2</v>
      </c>
      <c r="L34" s="325">
        <v>3</v>
      </c>
      <c r="M34" s="328" t="s">
        <v>651</v>
      </c>
      <c r="N34" s="328">
        <v>1</v>
      </c>
      <c r="O34" s="325">
        <v>2</v>
      </c>
      <c r="P34" s="320" t="s">
        <v>651</v>
      </c>
      <c r="Q34" s="255" t="s">
        <v>715</v>
      </c>
      <c r="R34" s="255" t="s">
        <v>716</v>
      </c>
      <c r="S34" s="255" t="s">
        <v>709</v>
      </c>
      <c r="T34" s="260"/>
      <c r="U34" s="260"/>
      <c r="V34" s="260"/>
      <c r="W34" s="260"/>
      <c r="X34" s="260"/>
      <c r="Y34" s="260"/>
      <c r="Z34" s="260"/>
      <c r="AA34" s="260"/>
      <c r="AB34" s="260"/>
      <c r="AC34" s="260"/>
      <c r="AD34" s="260"/>
      <c r="AE34" s="260"/>
      <c r="AF34" s="260"/>
      <c r="AG34" s="260"/>
      <c r="AH34" s="260"/>
      <c r="AI34" s="260"/>
      <c r="AJ34" s="260"/>
      <c r="AK34" s="260"/>
      <c r="AL34" s="260"/>
      <c r="AM34" s="260"/>
      <c r="AN34" s="260"/>
      <c r="AO34" s="78"/>
    </row>
    <row r="35" spans="1:41" ht="15.75" customHeight="1">
      <c r="A35" s="40" t="s">
        <v>653</v>
      </c>
      <c r="B35" s="329">
        <f>+'NEW...Tables 91-112'!D41</f>
        <v>4.2567826543688652</v>
      </c>
      <c r="C35" s="329">
        <f>+'NEW...Tables 91-112'!D72</f>
        <v>1.2361775973078521</v>
      </c>
      <c r="D35" s="329">
        <f>+'NEW...Tables 91-112'!D103</f>
        <v>16.37017409084908</v>
      </c>
      <c r="E35" s="329">
        <f>+'NEW...Tables 91-112'!D134</f>
        <v>9.1194598290907933</v>
      </c>
      <c r="F35" s="329">
        <f>+'NEW...Tables 91-112'!D164</f>
        <v>3.0759003129408331</v>
      </c>
      <c r="G35" s="329">
        <f>+'NEW...Tables 91-112'!D195</f>
        <v>70.818477407781145</v>
      </c>
      <c r="H35" s="330">
        <f>+'NEW...Tables 91-112'!D9</f>
        <v>9.9991704153273595</v>
      </c>
      <c r="I35" s="331">
        <f>+'NEW...Tables 91-112'!D257</f>
        <v>0</v>
      </c>
      <c r="J35" s="329">
        <f>+'NEW...Tables 91-112'!D288</f>
        <v>19.356035539548053</v>
      </c>
      <c r="K35" s="329">
        <f>+'NEW...Tables 91-112'!D319</f>
        <v>14.9042018141828</v>
      </c>
      <c r="L35" s="329">
        <f>+'NEW...Tables 91-112'!D349</f>
        <v>18.711459665068961</v>
      </c>
      <c r="M35" s="331">
        <f>+'NEW...Tables 91-112'!D226</f>
        <v>16.519660221032684</v>
      </c>
      <c r="N35" s="332">
        <f>+'NEW...Tables 91-112'!D410</f>
        <v>7.5225777902930586</v>
      </c>
      <c r="O35" s="333">
        <f>+'NEW...Tables 91-112'!D440</f>
        <v>8.1376441671393458</v>
      </c>
      <c r="P35" s="334">
        <f>+'NEW...Tables 91-112'!D380</f>
        <v>7.9006911942472806</v>
      </c>
      <c r="Q35" s="172">
        <f>+'NEW...Tables 87-90'!H35-OLD...Tables!H35</f>
        <v>1.2472234021071298</v>
      </c>
      <c r="R35" s="172">
        <f>+'NEW...Tables 87-90'!M35-OLD...Tables!M35</f>
        <v>2.5145165855387219</v>
      </c>
      <c r="S35" s="172">
        <f>+'NEW...Tables 87-90'!P35-OLD...Tables!P35</f>
        <v>0.86788378901478591</v>
      </c>
      <c r="T35" s="150"/>
      <c r="U35" s="261"/>
      <c r="V35" s="261"/>
      <c r="W35" s="261"/>
      <c r="X35" s="118"/>
      <c r="Y35" s="150"/>
      <c r="Z35" s="150"/>
      <c r="AA35" s="150"/>
      <c r="AB35" s="262"/>
      <c r="AC35" s="118"/>
      <c r="AD35" s="150"/>
      <c r="AE35" s="150"/>
      <c r="AF35" s="150"/>
      <c r="AG35" s="261"/>
      <c r="AH35" s="261"/>
      <c r="AI35" s="261"/>
      <c r="AJ35" s="118"/>
      <c r="AK35" s="150"/>
      <c r="AL35" s="150"/>
      <c r="AM35" s="150"/>
      <c r="AN35" s="262"/>
      <c r="AO35" s="243"/>
    </row>
    <row r="36" spans="1:41" ht="15.75" customHeight="1">
      <c r="A36" s="40" t="s">
        <v>654</v>
      </c>
      <c r="B36" s="329">
        <f>+'NEW...Tables 91-112'!D42</f>
        <v>3.192179382353749</v>
      </c>
      <c r="C36" s="329">
        <f>+'NEW...Tables 91-112'!D73</f>
        <v>0</v>
      </c>
      <c r="D36" s="329">
        <f>+'NEW...Tables 91-112'!D104</f>
        <v>15.21400738231071</v>
      </c>
      <c r="E36" s="329">
        <f>+'NEW...Tables 91-112'!D135</f>
        <v>12.614769269483045</v>
      </c>
      <c r="F36" s="329">
        <f>+'NEW...Tables 91-112'!D165</f>
        <v>11.461126444769327</v>
      </c>
      <c r="G36" s="329">
        <f>+'NEW...Tables 91-112'!D196</f>
        <v>10.586377083839013</v>
      </c>
      <c r="H36" s="334">
        <f>+'NEW...Tables 91-112'!D10</f>
        <v>11.0130633920615</v>
      </c>
      <c r="I36" s="331">
        <f>+'NEW...Tables 91-112'!D258</f>
        <v>0</v>
      </c>
      <c r="J36" s="329">
        <f>+'NEW...Tables 91-112'!D289</f>
        <v>31.657158182172811</v>
      </c>
      <c r="K36" s="329">
        <f>+'NEW...Tables 91-112'!D320</f>
        <v>18.294461241874757</v>
      </c>
      <c r="L36" s="329">
        <f>+'NEW...Tables 91-112'!D350</f>
        <v>17.633491226181505</v>
      </c>
      <c r="M36" s="331">
        <f>+'NEW...Tables 91-112'!D227</f>
        <v>20.361411864848868</v>
      </c>
      <c r="N36" s="332">
        <f>+'NEW...Tables 91-112'!D411</f>
        <v>0</v>
      </c>
      <c r="O36" s="333">
        <f>+'NEW...Tables 91-112'!D441</f>
        <v>0</v>
      </c>
      <c r="P36" s="334">
        <f>+'NEW...Tables 91-112'!D381</f>
        <v>0</v>
      </c>
      <c r="Q36" s="172">
        <f>+'NEW...Tables 87-90'!H36-OLD...Tables!H36</f>
        <v>0.98868796329031738</v>
      </c>
      <c r="R36" s="172">
        <f>+'NEW...Tables 87-90'!M36-OLD...Tables!M36</f>
        <v>1.8644759545375393</v>
      </c>
      <c r="S36" s="172">
        <f>+'NEW...Tables 87-90'!P36-OLD...Tables!P36</f>
        <v>0</v>
      </c>
      <c r="T36" s="150"/>
      <c r="U36" s="261"/>
      <c r="V36" s="261"/>
      <c r="W36" s="261"/>
      <c r="X36" s="118"/>
      <c r="Y36" s="150"/>
      <c r="Z36" s="150"/>
      <c r="AA36" s="150"/>
      <c r="AB36" s="262"/>
      <c r="AC36" s="118"/>
      <c r="AD36" s="150"/>
      <c r="AE36" s="150"/>
      <c r="AF36" s="150"/>
      <c r="AG36" s="261"/>
      <c r="AH36" s="261"/>
      <c r="AI36" s="261"/>
      <c r="AJ36" s="118"/>
      <c r="AK36" s="150"/>
      <c r="AL36" s="150"/>
      <c r="AM36" s="150"/>
      <c r="AN36" s="262"/>
      <c r="AO36" s="243"/>
    </row>
    <row r="37" spans="1:41" ht="15.75" customHeight="1">
      <c r="A37" s="40" t="s">
        <v>655</v>
      </c>
      <c r="B37" s="329">
        <f>+'NEW...Tables 91-112'!D43</f>
        <v>0</v>
      </c>
      <c r="C37" s="329">
        <f>+'NEW...Tables 91-112'!D74</f>
        <v>0</v>
      </c>
      <c r="D37" s="329">
        <f>+'NEW...Tables 91-112'!D105</f>
        <v>0</v>
      </c>
      <c r="E37" s="329">
        <f>+'NEW...Tables 91-112'!D136</f>
        <v>0</v>
      </c>
      <c r="F37" s="329">
        <f>+'NEW...Tables 91-112'!D166</f>
        <v>0</v>
      </c>
      <c r="G37" s="329">
        <f>+'NEW...Tables 91-112'!D197</f>
        <v>0</v>
      </c>
      <c r="H37" s="334">
        <f>+'NEW...Tables 91-112'!D11</f>
        <v>0</v>
      </c>
      <c r="I37" s="331">
        <f>+'NEW...Tables 91-112'!D259</f>
        <v>0</v>
      </c>
      <c r="J37" s="329">
        <f>+'NEW...Tables 91-112'!D290</f>
        <v>0</v>
      </c>
      <c r="K37" s="329">
        <f>+'NEW...Tables 91-112'!D321</f>
        <v>0</v>
      </c>
      <c r="L37" s="329">
        <f>+'NEW...Tables 91-112'!D351</f>
        <v>0</v>
      </c>
      <c r="M37" s="331">
        <f>+'NEW...Tables 91-112'!D228</f>
        <v>0</v>
      </c>
      <c r="N37" s="332">
        <f>+'NEW...Tables 91-112'!D412</f>
        <v>0</v>
      </c>
      <c r="O37" s="333">
        <f>+'NEW...Tables 91-112'!D442</f>
        <v>0</v>
      </c>
      <c r="P37" s="334">
        <f>+'NEW...Tables 91-112'!D382</f>
        <v>0</v>
      </c>
      <c r="Q37" s="172">
        <f>+'NEW...Tables 87-90'!H37-OLD...Tables!H37</f>
        <v>0</v>
      </c>
      <c r="R37" s="172">
        <f>+'NEW...Tables 87-90'!M37-OLD...Tables!M37</f>
        <v>0</v>
      </c>
      <c r="S37" s="172">
        <f>+'NEW...Tables 87-90'!P37-OLD...Tables!P37</f>
        <v>0</v>
      </c>
      <c r="T37" s="150"/>
      <c r="U37" s="261"/>
      <c r="V37" s="263"/>
      <c r="W37" s="261"/>
      <c r="X37" s="118"/>
      <c r="Y37" s="150"/>
      <c r="Z37" s="150"/>
      <c r="AA37" s="150"/>
      <c r="AB37" s="262"/>
      <c r="AC37" s="118"/>
      <c r="AD37" s="150"/>
      <c r="AE37" s="150"/>
      <c r="AF37" s="150"/>
      <c r="AG37" s="261"/>
      <c r="AH37" s="261"/>
      <c r="AI37" s="261"/>
      <c r="AJ37" s="118"/>
      <c r="AK37" s="150"/>
      <c r="AL37" s="150"/>
      <c r="AM37" s="150"/>
      <c r="AN37" s="262"/>
      <c r="AO37" s="243"/>
    </row>
    <row r="38" spans="1:41" ht="15.75" customHeight="1">
      <c r="A38" s="40" t="s">
        <v>671</v>
      </c>
      <c r="B38" s="329">
        <f>+'NEW...Tables 91-112'!D44</f>
        <v>19.425376177945413</v>
      </c>
      <c r="C38" s="329">
        <f>+'NEW...Tables 91-112'!D75</f>
        <v>6.4957429831560667</v>
      </c>
      <c r="D38" s="329">
        <f>+'NEW...Tables 91-112'!D106</f>
        <v>13.716660566737593</v>
      </c>
      <c r="E38" s="329">
        <f>+'NEW...Tables 91-112'!D137</f>
        <v>19.267696588461554</v>
      </c>
      <c r="F38" s="329">
        <f>+'NEW...Tables 91-112'!D167</f>
        <v>0</v>
      </c>
      <c r="G38" s="329">
        <f>+'NEW...Tables 91-112'!D198</f>
        <v>0</v>
      </c>
      <c r="H38" s="334">
        <f>+'NEW...Tables 91-112'!D12</f>
        <v>17.502470263538797</v>
      </c>
      <c r="I38" s="331">
        <f>+'NEW...Tables 91-112'!D260</f>
        <v>19.027783289777254</v>
      </c>
      <c r="J38" s="329">
        <f>+'NEW...Tables 91-112'!D291</f>
        <v>23.408492524302893</v>
      </c>
      <c r="K38" s="329">
        <f>+'NEW...Tables 91-112'!D322</f>
        <v>28.158899923605805</v>
      </c>
      <c r="L38" s="329">
        <f>+'NEW...Tables 91-112'!D352</f>
        <v>28.344228530491627</v>
      </c>
      <c r="M38" s="331">
        <f>+'NEW...Tables 91-112'!D229</f>
        <v>22.293967731079668</v>
      </c>
      <c r="N38" s="332">
        <f>+'NEW...Tables 91-112'!D413</f>
        <v>0</v>
      </c>
      <c r="O38" s="333">
        <f>+'NEW...Tables 91-112'!D443</f>
        <v>0</v>
      </c>
      <c r="P38" s="334">
        <f>+'NEW...Tables 91-112'!D383</f>
        <v>0</v>
      </c>
      <c r="Q38" s="172">
        <f>+'NEW...Tables 87-90'!H38-OLD...Tables!H38</f>
        <v>0.8608258900698651</v>
      </c>
      <c r="R38" s="172">
        <f>+'NEW...Tables 87-90'!M38-OLD...Tables!M38</f>
        <v>4.4759397563475289</v>
      </c>
      <c r="S38" s="172">
        <f>+'NEW...Tables 87-90'!P38-OLD...Tables!P38</f>
        <v>0</v>
      </c>
      <c r="T38" s="150"/>
      <c r="U38" s="261"/>
      <c r="V38" s="261"/>
      <c r="W38" s="261"/>
      <c r="X38" s="118"/>
      <c r="Y38" s="150"/>
      <c r="Z38" s="150"/>
      <c r="AA38" s="150"/>
      <c r="AB38" s="262"/>
      <c r="AC38" s="118"/>
      <c r="AD38" s="150"/>
      <c r="AE38" s="150"/>
      <c r="AF38" s="150"/>
      <c r="AG38" s="261"/>
      <c r="AH38" s="261"/>
      <c r="AI38" s="261"/>
      <c r="AJ38" s="118"/>
      <c r="AK38" s="150"/>
      <c r="AL38" s="150"/>
      <c r="AM38" s="150"/>
      <c r="AN38" s="262"/>
      <c r="AO38" s="243"/>
    </row>
    <row r="39" spans="1:41" ht="15.75" customHeight="1">
      <c r="A39" s="40"/>
      <c r="B39" s="329"/>
      <c r="C39" s="329"/>
      <c r="D39" s="329"/>
      <c r="E39" s="329"/>
      <c r="F39" s="329"/>
      <c r="G39" s="329"/>
      <c r="H39" s="334"/>
      <c r="I39" s="331"/>
      <c r="J39" s="329"/>
      <c r="K39" s="329"/>
      <c r="L39" s="329"/>
      <c r="M39" s="331"/>
      <c r="N39" s="332"/>
      <c r="O39" s="333"/>
      <c r="P39" s="334"/>
      <c r="Q39" s="172"/>
      <c r="R39" s="172"/>
      <c r="S39" s="172"/>
      <c r="T39" s="150"/>
      <c r="U39" s="261"/>
      <c r="V39" s="261"/>
      <c r="W39" s="261"/>
      <c r="X39" s="118"/>
      <c r="Y39" s="150"/>
      <c r="Z39" s="150"/>
      <c r="AA39" s="150"/>
      <c r="AB39" s="262"/>
      <c r="AC39" s="118"/>
      <c r="AD39" s="150"/>
      <c r="AE39" s="150"/>
      <c r="AF39" s="150"/>
      <c r="AG39" s="261"/>
      <c r="AH39" s="261"/>
      <c r="AI39" s="261"/>
      <c r="AJ39" s="118"/>
      <c r="AK39" s="150"/>
      <c r="AL39" s="150"/>
      <c r="AM39" s="150"/>
      <c r="AN39" s="262"/>
      <c r="AO39" s="243"/>
    </row>
    <row r="40" spans="1:41" ht="15.75" customHeight="1">
      <c r="A40" s="40" t="s">
        <v>657</v>
      </c>
      <c r="B40" s="329">
        <f>+'NEW...Tables 91-112'!D46</f>
        <v>0</v>
      </c>
      <c r="C40" s="329">
        <f>+'NEW...Tables 91-112'!D77</f>
        <v>0</v>
      </c>
      <c r="D40" s="329">
        <f>+'NEW...Tables 91-112'!D108</f>
        <v>0</v>
      </c>
      <c r="E40" s="329">
        <f>+'NEW...Tables 91-112'!D139</f>
        <v>0</v>
      </c>
      <c r="F40" s="329">
        <f>+'NEW...Tables 91-112'!D169</f>
        <v>0</v>
      </c>
      <c r="G40" s="329">
        <f>+'NEW...Tables 91-112'!D200</f>
        <v>0</v>
      </c>
      <c r="H40" s="334">
        <f>+'NEW...Tables 91-112'!D14</f>
        <v>0</v>
      </c>
      <c r="I40" s="331">
        <f>+'NEW...Tables 91-112'!D262</f>
        <v>0</v>
      </c>
      <c r="J40" s="329">
        <f>+'NEW...Tables 91-112'!D293</f>
        <v>0</v>
      </c>
      <c r="K40" s="329">
        <f>+'NEW...Tables 91-112'!D324</f>
        <v>0</v>
      </c>
      <c r="L40" s="329">
        <f>+'NEW...Tables 91-112'!D354</f>
        <v>0</v>
      </c>
      <c r="M40" s="331">
        <f>+'NEW...Tables 91-112'!D231</f>
        <v>0</v>
      </c>
      <c r="N40" s="332">
        <f>+'NEW...Tables 91-112'!D415</f>
        <v>20.620840558253978</v>
      </c>
      <c r="O40" s="333">
        <f>+'NEW...Tables 91-112'!D445</f>
        <v>16.391512589302437</v>
      </c>
      <c r="P40" s="334">
        <f>+'NEW...Tables 91-112'!D385</f>
        <v>20.587014266488328</v>
      </c>
      <c r="Q40" s="172">
        <f>+'NEW...Tables 87-90'!H40-OLD...Tables!H40</f>
        <v>0</v>
      </c>
      <c r="R40" s="172">
        <f>+'NEW...Tables 87-90'!M40-OLD...Tables!M40</f>
        <v>0</v>
      </c>
      <c r="S40" s="172">
        <f>+'NEW...Tables 87-90'!P40-OLD...Tables!P40</f>
        <v>3.1608740178397845</v>
      </c>
      <c r="T40" s="150"/>
      <c r="U40" s="261"/>
      <c r="V40" s="261"/>
      <c r="W40" s="261"/>
      <c r="X40" s="118"/>
      <c r="Y40" s="150"/>
      <c r="Z40" s="150"/>
      <c r="AA40" s="150"/>
      <c r="AB40" s="262"/>
      <c r="AC40" s="118"/>
      <c r="AD40" s="150"/>
      <c r="AE40" s="150"/>
      <c r="AF40" s="150"/>
      <c r="AG40" s="261"/>
      <c r="AH40" s="261"/>
      <c r="AI40" s="261"/>
      <c r="AJ40" s="118"/>
      <c r="AK40" s="150"/>
      <c r="AL40" s="150"/>
      <c r="AM40" s="150"/>
      <c r="AN40" s="262"/>
      <c r="AO40" s="243"/>
    </row>
    <row r="41" spans="1:41" ht="15.75" customHeight="1">
      <c r="A41" s="40" t="s">
        <v>658</v>
      </c>
      <c r="B41" s="329">
        <f>+'NEW...Tables 91-112'!D47</f>
        <v>4.2990636190737295</v>
      </c>
      <c r="C41" s="329">
        <f>+'NEW...Tables 91-112'!D78</f>
        <v>0</v>
      </c>
      <c r="D41" s="329">
        <f>+'NEW...Tables 91-112'!D109</f>
        <v>14.441067710462157</v>
      </c>
      <c r="E41" s="329">
        <f>+'NEW...Tables 91-112'!D140</f>
        <v>10.124012057355264</v>
      </c>
      <c r="F41" s="329">
        <f>+'NEW...Tables 91-112'!D170</f>
        <v>0</v>
      </c>
      <c r="G41" s="329">
        <f>+'NEW...Tables 91-112'!D201</f>
        <v>0</v>
      </c>
      <c r="H41" s="334">
        <f>+'NEW...Tables 91-112'!D15</f>
        <v>10.103562376767982</v>
      </c>
      <c r="I41" s="331">
        <f>+'NEW...Tables 91-112'!D263</f>
        <v>0</v>
      </c>
      <c r="J41" s="329">
        <f>+'NEW...Tables 91-112'!D294</f>
        <v>21.496940500185289</v>
      </c>
      <c r="K41" s="329">
        <f>+'NEW...Tables 91-112'!D325</f>
        <v>29.094044880184054</v>
      </c>
      <c r="L41" s="329">
        <f>+'NEW...Tables 91-112'!D355</f>
        <v>28.074034024996454</v>
      </c>
      <c r="M41" s="331">
        <f>+'NEW...Tables 91-112'!D232</f>
        <v>26.478752605924708</v>
      </c>
      <c r="N41" s="332">
        <f>+'NEW...Tables 91-112'!D416</f>
        <v>7.540735677982739</v>
      </c>
      <c r="O41" s="333">
        <f>+'NEW...Tables 91-112'!D446</f>
        <v>0</v>
      </c>
      <c r="P41" s="334">
        <f>+'NEW...Tables 91-112'!D386</f>
        <v>7.540735677982739</v>
      </c>
      <c r="Q41" s="172">
        <f>+'NEW...Tables 87-90'!H41-OLD...Tables!H41</f>
        <v>1.4737726201672565</v>
      </c>
      <c r="R41" s="172">
        <f>+'NEW...Tables 87-90'!M41-OLD...Tables!M41</f>
        <v>2.7610191741836623</v>
      </c>
      <c r="S41" s="172">
        <f>+'NEW...Tables 87-90'!P41-OLD...Tables!P41</f>
        <v>2.4119968210208853</v>
      </c>
      <c r="T41" s="150"/>
      <c r="U41" s="261"/>
      <c r="V41" s="261"/>
      <c r="W41" s="261"/>
      <c r="X41" s="118"/>
      <c r="Y41" s="150"/>
      <c r="Z41" s="150"/>
      <c r="AA41" s="150"/>
      <c r="AB41" s="262"/>
      <c r="AC41" s="118"/>
      <c r="AD41" s="150"/>
      <c r="AE41" s="150"/>
      <c r="AF41" s="150"/>
      <c r="AG41" s="261"/>
      <c r="AH41" s="261"/>
      <c r="AI41" s="261"/>
      <c r="AJ41" s="118"/>
      <c r="AK41" s="150"/>
      <c r="AL41" s="150"/>
      <c r="AM41" s="150"/>
      <c r="AN41" s="262"/>
      <c r="AO41" s="243"/>
    </row>
    <row r="42" spans="1:41" ht="15.75" customHeight="1">
      <c r="A42" s="40" t="s">
        <v>659</v>
      </c>
      <c r="B42" s="329">
        <f>+'NEW...Tables 91-112'!D48</f>
        <v>0</v>
      </c>
      <c r="C42" s="329">
        <f>+'NEW...Tables 91-112'!D79</f>
        <v>0</v>
      </c>
      <c r="D42" s="329">
        <f>+'NEW...Tables 91-112'!D110</f>
        <v>0</v>
      </c>
      <c r="E42" s="329">
        <f>+'NEW...Tables 91-112'!D141</f>
        <v>0</v>
      </c>
      <c r="F42" s="329">
        <f>+'NEW...Tables 91-112'!D171</f>
        <v>0</v>
      </c>
      <c r="G42" s="329">
        <f>+'NEW...Tables 91-112'!D202</f>
        <v>0</v>
      </c>
      <c r="H42" s="334">
        <f>+'NEW...Tables 91-112'!D16</f>
        <v>0</v>
      </c>
      <c r="I42" s="331">
        <f>+'NEW...Tables 91-112'!D264</f>
        <v>0</v>
      </c>
      <c r="J42" s="329">
        <f>+'NEW...Tables 91-112'!D295</f>
        <v>0</v>
      </c>
      <c r="K42" s="329">
        <f>+'NEW...Tables 91-112'!D326</f>
        <v>0</v>
      </c>
      <c r="L42" s="329">
        <f>+'NEW...Tables 91-112'!D356</f>
        <v>0</v>
      </c>
      <c r="M42" s="331">
        <f>+'NEW...Tables 91-112'!D233</f>
        <v>0</v>
      </c>
      <c r="N42" s="332">
        <f>+'NEW...Tables 91-112'!D417</f>
        <v>0</v>
      </c>
      <c r="O42" s="333">
        <f>+'NEW...Tables 91-112'!D447</f>
        <v>0</v>
      </c>
      <c r="P42" s="334">
        <f>+'NEW...Tables 91-112'!D387</f>
        <v>0</v>
      </c>
      <c r="Q42" s="172">
        <f>+'NEW...Tables 87-90'!H42-OLD...Tables!H42</f>
        <v>0</v>
      </c>
      <c r="R42" s="172">
        <f>+'NEW...Tables 87-90'!M42-OLD...Tables!M42</f>
        <v>0</v>
      </c>
      <c r="S42" s="172">
        <f>+'NEW...Tables 87-90'!P42-OLD...Tables!P42</f>
        <v>0</v>
      </c>
      <c r="T42" s="150"/>
      <c r="U42" s="261"/>
      <c r="V42" s="261"/>
      <c r="W42" s="261"/>
      <c r="X42" s="118"/>
      <c r="Y42" s="150"/>
      <c r="Z42" s="150"/>
      <c r="AA42" s="150"/>
      <c r="AB42" s="262"/>
      <c r="AC42" s="118"/>
      <c r="AD42" s="150"/>
      <c r="AE42" s="150"/>
      <c r="AF42" s="150"/>
      <c r="AG42" s="261"/>
      <c r="AH42" s="261"/>
      <c r="AI42" s="261"/>
      <c r="AJ42" s="118"/>
      <c r="AK42" s="150"/>
      <c r="AL42" s="150"/>
      <c r="AM42" s="150"/>
      <c r="AN42" s="262"/>
      <c r="AO42" s="243"/>
    </row>
    <row r="43" spans="1:41" ht="15.75" customHeight="1">
      <c r="A43" s="40" t="s">
        <v>672</v>
      </c>
      <c r="B43" s="329">
        <f>+'NEW...Tables 91-112'!D49</f>
        <v>1.3843532052581398</v>
      </c>
      <c r="C43" s="329">
        <f>+'NEW...Tables 91-112'!D80</f>
        <v>7.6361689343555295</v>
      </c>
      <c r="D43" s="329">
        <f>+'NEW...Tables 91-112'!D111</f>
        <v>3.7541310195505244</v>
      </c>
      <c r="E43" s="329">
        <f>+'NEW...Tables 91-112'!D142</f>
        <v>7.8987812241078732</v>
      </c>
      <c r="F43" s="329">
        <f>+'NEW...Tables 91-112'!D172</f>
        <v>0</v>
      </c>
      <c r="G43" s="329">
        <f>+'NEW...Tables 91-112'!D203</f>
        <v>0</v>
      </c>
      <c r="H43" s="334">
        <f>+'NEW...Tables 91-112'!D17</f>
        <v>16.013959238113291</v>
      </c>
      <c r="I43" s="331">
        <f>+'NEW...Tables 91-112'!D265</f>
        <v>0</v>
      </c>
      <c r="J43" s="329">
        <f>+'NEW...Tables 91-112'!D296</f>
        <v>11.187049035184353</v>
      </c>
      <c r="K43" s="329">
        <f>+'NEW...Tables 91-112'!D327</f>
        <v>15.267056198992917</v>
      </c>
      <c r="L43" s="329">
        <f>+'NEW...Tables 91-112'!D357</f>
        <v>14.009852256579121</v>
      </c>
      <c r="M43" s="331">
        <f>+'NEW...Tables 91-112'!D234</f>
        <v>12.785771814067655</v>
      </c>
      <c r="N43" s="332">
        <f>+'NEW...Tables 91-112'!D418</f>
        <v>0</v>
      </c>
      <c r="O43" s="333">
        <f>+'NEW...Tables 91-112'!D448</f>
        <v>0</v>
      </c>
      <c r="P43" s="334">
        <f>+'NEW...Tables 91-112'!D388</f>
        <v>0</v>
      </c>
      <c r="Q43" s="172">
        <f>+'NEW...Tables 87-90'!H43-OLD...Tables!H43</f>
        <v>1.6299989001830006</v>
      </c>
      <c r="R43" s="172">
        <f>+'NEW...Tables 87-90'!M43-OLD...Tables!M43</f>
        <v>0.21336456329034803</v>
      </c>
      <c r="S43" s="172">
        <f>+'NEW...Tables 87-90'!P43-OLD...Tables!P43</f>
        <v>0</v>
      </c>
      <c r="T43" s="150"/>
      <c r="U43" s="263"/>
      <c r="V43" s="261"/>
      <c r="W43" s="261"/>
      <c r="X43" s="118"/>
      <c r="Y43" s="150"/>
      <c r="Z43" s="150"/>
      <c r="AA43" s="150"/>
      <c r="AB43" s="262"/>
      <c r="AC43" s="118"/>
      <c r="AD43" s="150"/>
      <c r="AE43" s="150"/>
      <c r="AF43" s="150"/>
      <c r="AG43" s="261"/>
      <c r="AH43" s="261"/>
      <c r="AI43" s="261"/>
      <c r="AJ43" s="118"/>
      <c r="AK43" s="150"/>
      <c r="AL43" s="150"/>
      <c r="AM43" s="150"/>
      <c r="AN43" s="262"/>
      <c r="AO43" s="243"/>
    </row>
    <row r="44" spans="1:41" ht="15.75" customHeight="1">
      <c r="A44" s="40"/>
      <c r="B44" s="329"/>
      <c r="C44" s="329"/>
      <c r="D44" s="329"/>
      <c r="E44" s="329"/>
      <c r="F44" s="329"/>
      <c r="G44" s="329"/>
      <c r="H44" s="334"/>
      <c r="I44" s="331"/>
      <c r="J44" s="329"/>
      <c r="K44" s="329"/>
      <c r="L44" s="329"/>
      <c r="M44" s="331"/>
      <c r="N44" s="332"/>
      <c r="O44" s="333"/>
      <c r="P44" s="334"/>
      <c r="Q44" s="172"/>
      <c r="R44" s="172"/>
      <c r="S44" s="172"/>
      <c r="T44" s="150"/>
      <c r="U44" s="263"/>
      <c r="V44" s="261"/>
      <c r="W44" s="261"/>
      <c r="X44" s="118"/>
      <c r="Y44" s="150"/>
      <c r="Z44" s="150"/>
      <c r="AA44" s="150"/>
      <c r="AB44" s="262"/>
      <c r="AC44" s="118"/>
      <c r="AD44" s="150"/>
      <c r="AE44" s="150"/>
      <c r="AF44" s="150"/>
      <c r="AG44" s="261"/>
      <c r="AH44" s="261"/>
      <c r="AI44" s="261"/>
      <c r="AJ44" s="118"/>
      <c r="AK44" s="150"/>
      <c r="AL44" s="150"/>
      <c r="AM44" s="150"/>
      <c r="AN44" s="262"/>
      <c r="AO44" s="243"/>
    </row>
    <row r="45" spans="1:41" ht="15.75" customHeight="1">
      <c r="A45" s="40" t="s">
        <v>673</v>
      </c>
      <c r="B45" s="329">
        <f>+'NEW...Tables 91-112'!D51</f>
        <v>7.3815671048568827</v>
      </c>
      <c r="C45" s="329">
        <f>+'NEW...Tables 91-112'!D82</f>
        <v>3.5898755185284319</v>
      </c>
      <c r="D45" s="329">
        <f>+'NEW...Tables 91-112'!D113</f>
        <v>0</v>
      </c>
      <c r="E45" s="329">
        <f>+'NEW...Tables 91-112'!D144</f>
        <v>13.002837699361518</v>
      </c>
      <c r="F45" s="329">
        <f>+'NEW...Tables 91-112'!D174</f>
        <v>30.415397308961666</v>
      </c>
      <c r="G45" s="329">
        <f>+'NEW...Tables 91-112'!D205</f>
        <v>0</v>
      </c>
      <c r="H45" s="334">
        <f>+'NEW...Tables 91-112'!D19</f>
        <v>7.71698428696123</v>
      </c>
      <c r="I45" s="331">
        <f>+'NEW...Tables 91-112'!D267</f>
        <v>0</v>
      </c>
      <c r="J45" s="340">
        <f>+'NEW...Tables 91-112'!D298</f>
        <v>20.581441116452542</v>
      </c>
      <c r="K45" s="340">
        <f>+'NEW...Tables 91-112'!D329</f>
        <v>16.412589213834714</v>
      </c>
      <c r="L45" s="340">
        <f>+'NEW...Tables 91-112'!D359</f>
        <v>9.7472834006411588</v>
      </c>
      <c r="M45" s="331">
        <f>+'NEW...Tables 91-112'!D236</f>
        <v>18.01841955595134</v>
      </c>
      <c r="N45" s="332">
        <f>+'NEW...Tables 91-112'!D420</f>
        <v>0</v>
      </c>
      <c r="O45" s="333">
        <f>+'NEW...Tables 91-112'!D450</f>
        <v>0</v>
      </c>
      <c r="P45" s="334">
        <f>+'NEW...Tables 91-112'!D390</f>
        <v>0</v>
      </c>
      <c r="Q45" s="172">
        <f>+'NEW...Tables 87-90'!H45-OLD...Tables!H45</f>
        <v>0.92250373121666573</v>
      </c>
      <c r="R45" s="172">
        <f>+'NEW...Tables 87-90'!M45-OLD...Tables!M45</f>
        <v>3.1205811241448576</v>
      </c>
      <c r="S45" s="172">
        <f>+'NEW...Tables 87-90'!P45-OLD...Tables!P45</f>
        <v>0</v>
      </c>
      <c r="T45" s="150"/>
      <c r="U45" s="261"/>
      <c r="V45" s="261"/>
      <c r="W45" s="261"/>
      <c r="X45" s="118"/>
      <c r="Y45" s="150"/>
      <c r="Z45" s="150"/>
      <c r="AA45" s="150"/>
      <c r="AB45" s="262"/>
      <c r="AC45" s="118"/>
      <c r="AD45" s="150"/>
      <c r="AE45" s="150"/>
      <c r="AF45" s="150"/>
      <c r="AG45" s="261"/>
      <c r="AH45" s="261"/>
      <c r="AI45" s="261"/>
      <c r="AJ45" s="118"/>
      <c r="AK45" s="150"/>
      <c r="AL45" s="150"/>
      <c r="AM45" s="150"/>
      <c r="AN45" s="262"/>
      <c r="AO45" s="243"/>
    </row>
    <row r="46" spans="1:41" ht="15.75" customHeight="1">
      <c r="A46" s="40" t="s">
        <v>662</v>
      </c>
      <c r="B46" s="329">
        <f>+'NEW...Tables 91-112'!D52</f>
        <v>6.9585140743092424</v>
      </c>
      <c r="C46" s="329">
        <f>+'NEW...Tables 91-112'!D83</f>
        <v>8.678620529604407</v>
      </c>
      <c r="D46" s="329">
        <f>+'NEW...Tables 91-112'!D114</f>
        <v>7.9868738118014608</v>
      </c>
      <c r="E46" s="329">
        <f>+'NEW...Tables 91-112'!D145</f>
        <v>15.240041704354793</v>
      </c>
      <c r="F46" s="329">
        <f>+'NEW...Tables 91-112'!D175</f>
        <v>15.11952818741833</v>
      </c>
      <c r="G46" s="329">
        <f>+'NEW...Tables 91-112'!D206</f>
        <v>7.4295364316893489</v>
      </c>
      <c r="H46" s="334">
        <f>+'NEW...Tables 91-112'!D20</f>
        <v>8.5481474096067345</v>
      </c>
      <c r="I46" s="331">
        <f>+'NEW...Tables 91-112'!D268</f>
        <v>0</v>
      </c>
      <c r="J46" s="329">
        <f>+'NEW...Tables 91-112'!D299</f>
        <v>21.261524308211769</v>
      </c>
      <c r="K46" s="329">
        <f>+'NEW...Tables 91-112'!D330</f>
        <v>23.406091747395365</v>
      </c>
      <c r="L46" s="329">
        <f>+'NEW...Tables 91-112'!D360</f>
        <v>24.585936176221406</v>
      </c>
      <c r="M46" s="331">
        <f>+'NEW...Tables 91-112'!D237</f>
        <v>22.641600309426099</v>
      </c>
      <c r="N46" s="332">
        <f>+'NEW...Tables 91-112'!D421</f>
        <v>0</v>
      </c>
      <c r="O46" s="333">
        <f>+'NEW...Tables 91-112'!D451</f>
        <v>0</v>
      </c>
      <c r="P46" s="334">
        <f>+'NEW...Tables 91-112'!D391</f>
        <v>0</v>
      </c>
      <c r="Q46" s="172">
        <f>+'NEW...Tables 87-90'!H46-OLD...Tables!H46</f>
        <v>0.63036194504273979</v>
      </c>
      <c r="R46" s="172">
        <f>+'NEW...Tables 87-90'!M46-OLD...Tables!M46</f>
        <v>1.4992881932856683</v>
      </c>
      <c r="S46" s="172">
        <f>+'NEW...Tables 87-90'!P46-OLD...Tables!P46</f>
        <v>0</v>
      </c>
      <c r="T46" s="150"/>
      <c r="U46" s="261"/>
      <c r="V46" s="261"/>
      <c r="W46" s="261"/>
      <c r="X46" s="118"/>
      <c r="Y46" s="150"/>
      <c r="Z46" s="150"/>
      <c r="AA46" s="150"/>
      <c r="AB46" s="262"/>
      <c r="AC46" s="118"/>
      <c r="AD46" s="150"/>
      <c r="AE46" s="150"/>
      <c r="AF46" s="150"/>
      <c r="AG46" s="261"/>
      <c r="AH46" s="261"/>
      <c r="AI46" s="261"/>
      <c r="AJ46" s="118"/>
      <c r="AK46" s="150"/>
      <c r="AL46" s="150"/>
      <c r="AM46" s="150"/>
      <c r="AN46" s="262"/>
      <c r="AO46" s="243"/>
    </row>
    <row r="47" spans="1:41" ht="15.75" customHeight="1">
      <c r="A47" s="40" t="s">
        <v>663</v>
      </c>
      <c r="B47" s="329">
        <f>+'NEW...Tables 91-112'!D53</f>
        <v>7.7264257089509449</v>
      </c>
      <c r="C47" s="329">
        <f>+'NEW...Tables 91-112'!D84</f>
        <v>0</v>
      </c>
      <c r="D47" s="329">
        <f>+'NEW...Tables 91-112'!D115</f>
        <v>8.1245158554068215</v>
      </c>
      <c r="E47" s="329">
        <f>+'NEW...Tables 91-112'!D146</f>
        <v>0</v>
      </c>
      <c r="F47" s="329">
        <f>+'NEW...Tables 91-112'!D176</f>
        <v>16.427418030543546</v>
      </c>
      <c r="G47" s="329">
        <f>+'NEW...Tables 91-112'!D207</f>
        <v>20.99854982390719</v>
      </c>
      <c r="H47" s="334">
        <f>+'NEW...Tables 91-112'!D21</f>
        <v>10.878870738547469</v>
      </c>
      <c r="I47" s="331">
        <f>+'NEW...Tables 91-112'!D269</f>
        <v>6.1592031576119526</v>
      </c>
      <c r="J47" s="329">
        <f>+'NEW...Tables 91-112'!D300</f>
        <v>17.262511031531247</v>
      </c>
      <c r="K47" s="329">
        <f>+'NEW...Tables 91-112'!D331</f>
        <v>24.318448015101382</v>
      </c>
      <c r="L47" s="329">
        <f>+'NEW...Tables 91-112'!D361</f>
        <v>31.44052586709741</v>
      </c>
      <c r="M47" s="331">
        <f>+'NEW...Tables 91-112'!D238</f>
        <v>22.386151460877741</v>
      </c>
      <c r="N47" s="332">
        <f>+'NEW...Tables 91-112'!D422</f>
        <v>0</v>
      </c>
      <c r="O47" s="333">
        <f>+'NEW...Tables 91-112'!D452</f>
        <v>0</v>
      </c>
      <c r="P47" s="334">
        <f>+'NEW...Tables 91-112'!D392</f>
        <v>0</v>
      </c>
      <c r="Q47" s="172">
        <f>+'NEW...Tables 87-90'!H47-OLD...Tables!H47</f>
        <v>1.0222215008594269</v>
      </c>
      <c r="R47" s="172">
        <f>+'NEW...Tables 87-90'!M47-OLD...Tables!M47</f>
        <v>2.6786655672631134</v>
      </c>
      <c r="S47" s="172">
        <f>+'NEW...Tables 87-90'!P47-OLD...Tables!P47</f>
        <v>0</v>
      </c>
      <c r="T47" s="150"/>
      <c r="U47" s="261"/>
      <c r="V47" s="261"/>
      <c r="W47" s="261"/>
      <c r="X47" s="118"/>
      <c r="Y47" s="150"/>
      <c r="Z47" s="150"/>
      <c r="AA47" s="150"/>
      <c r="AB47" s="262"/>
      <c r="AC47" s="118"/>
      <c r="AD47" s="150"/>
      <c r="AE47" s="150"/>
      <c r="AF47" s="150"/>
      <c r="AG47" s="261"/>
      <c r="AH47" s="261"/>
      <c r="AI47" s="261"/>
      <c r="AJ47" s="118"/>
      <c r="AK47" s="150"/>
      <c r="AL47" s="150"/>
      <c r="AM47" s="150"/>
      <c r="AN47" s="262"/>
      <c r="AO47" s="243"/>
    </row>
    <row r="48" spans="1:41" ht="15.75" customHeight="1">
      <c r="A48" s="40" t="s">
        <v>664</v>
      </c>
      <c r="B48" s="329">
        <f>+'NEW...Tables 91-112'!D54</f>
        <v>3.8844728723608042</v>
      </c>
      <c r="C48" s="329">
        <f>+'NEW...Tables 91-112'!D85</f>
        <v>0</v>
      </c>
      <c r="D48" s="329">
        <f>+'NEW...Tables 91-112'!D116</f>
        <v>7.1171211245051366E-2</v>
      </c>
      <c r="E48" s="329">
        <f>+'NEW...Tables 91-112'!D147</f>
        <v>0.25501886440914806</v>
      </c>
      <c r="F48" s="329">
        <f>+'NEW...Tables 91-112'!D177</f>
        <v>2.2349120736379162</v>
      </c>
      <c r="G48" s="329">
        <f>+'NEW...Tables 91-112'!D208</f>
        <v>5.8816942221312845</v>
      </c>
      <c r="H48" s="334">
        <f>+'NEW...Tables 91-112'!D22</f>
        <v>3.0591063797486018</v>
      </c>
      <c r="I48" s="331">
        <f>+'NEW...Tables 91-112'!D270</f>
        <v>0</v>
      </c>
      <c r="J48" s="329">
        <f>+'NEW...Tables 91-112'!D301</f>
        <v>21.760233169309942</v>
      </c>
      <c r="K48" s="329">
        <f>+'NEW...Tables 91-112'!D332</f>
        <v>20.569229456200461</v>
      </c>
      <c r="L48" s="329">
        <f>+'NEW...Tables 91-112'!D362</f>
        <v>12.843853876941864</v>
      </c>
      <c r="M48" s="331">
        <f>+'NEW...Tables 91-112'!D239</f>
        <v>20.29469840159857</v>
      </c>
      <c r="N48" s="332">
        <f>+'NEW...Tables 91-112'!D423</f>
        <v>0</v>
      </c>
      <c r="O48" s="333">
        <f>+'NEW...Tables 91-112'!D453</f>
        <v>0</v>
      </c>
      <c r="P48" s="334">
        <f>+'NEW...Tables 91-112'!D393</f>
        <v>0</v>
      </c>
      <c r="Q48" s="172">
        <f>+'NEW...Tables 87-90'!H48-OLD...Tables!H48</f>
        <v>0.46249639715886248</v>
      </c>
      <c r="R48" s="172">
        <f>+'NEW...Tables 87-90'!M48-OLD...Tables!M48</f>
        <v>3.0423951611413145</v>
      </c>
      <c r="S48" s="172">
        <f>+'NEW...Tables 87-90'!P48-OLD...Tables!P48</f>
        <v>0</v>
      </c>
      <c r="T48" s="150"/>
      <c r="U48" s="261"/>
      <c r="V48" s="261"/>
      <c r="W48" s="261"/>
      <c r="X48" s="118"/>
      <c r="Y48" s="150"/>
      <c r="Z48" s="150"/>
      <c r="AA48" s="150"/>
      <c r="AB48" s="262"/>
      <c r="AC48" s="262"/>
      <c r="AD48" s="262"/>
      <c r="AE48" s="262"/>
      <c r="AF48" s="262"/>
      <c r="AG48" s="262"/>
      <c r="AH48" s="262"/>
      <c r="AI48" s="262"/>
      <c r="AJ48" s="262"/>
      <c r="AK48" s="262"/>
      <c r="AL48" s="262"/>
      <c r="AM48" s="262"/>
      <c r="AN48" s="262"/>
      <c r="AO48" s="243"/>
    </row>
    <row r="49" spans="1:41" ht="15.75" customHeight="1">
      <c r="A49" s="40"/>
      <c r="B49" s="329"/>
      <c r="C49" s="329"/>
      <c r="D49" s="329"/>
      <c r="E49" s="329"/>
      <c r="F49" s="329"/>
      <c r="G49" s="329"/>
      <c r="H49" s="334"/>
      <c r="I49" s="331"/>
      <c r="J49" s="329"/>
      <c r="K49" s="329"/>
      <c r="L49" s="329"/>
      <c r="M49" s="331"/>
      <c r="N49" s="332"/>
      <c r="O49" s="333"/>
      <c r="P49" s="334"/>
      <c r="Q49" s="172"/>
      <c r="R49" s="172"/>
      <c r="S49" s="172"/>
      <c r="T49" s="150"/>
      <c r="U49" s="261"/>
      <c r="V49" s="261"/>
      <c r="W49" s="261"/>
      <c r="X49" s="118"/>
      <c r="Y49" s="150"/>
      <c r="Z49" s="150"/>
      <c r="AA49" s="150"/>
      <c r="AB49" s="262"/>
      <c r="AC49" s="262"/>
      <c r="AD49" s="262"/>
      <c r="AE49" s="262"/>
      <c r="AF49" s="262"/>
      <c r="AG49" s="262"/>
      <c r="AH49" s="262"/>
      <c r="AI49" s="262"/>
      <c r="AJ49" s="262"/>
      <c r="AK49" s="262"/>
      <c r="AL49" s="262"/>
      <c r="AM49" s="262"/>
      <c r="AN49" s="262"/>
      <c r="AO49" s="243"/>
    </row>
    <row r="50" spans="1:41" ht="15.75" customHeight="1">
      <c r="A50" s="40" t="s">
        <v>665</v>
      </c>
      <c r="B50" s="329">
        <f>+'NEW...Tables 91-112'!D56</f>
        <v>14.029418297090476</v>
      </c>
      <c r="C50" s="329">
        <f>+'NEW...Tables 91-112'!D87</f>
        <v>0</v>
      </c>
      <c r="D50" s="329">
        <f>+'NEW...Tables 91-112'!D118</f>
        <v>13.056408200447706</v>
      </c>
      <c r="E50" s="329">
        <f>+'NEW...Tables 91-112'!D149</f>
        <v>0</v>
      </c>
      <c r="F50" s="329">
        <f>+'NEW...Tables 91-112'!D179</f>
        <v>6.1166129381163179</v>
      </c>
      <c r="G50" s="329">
        <f>+'NEW...Tables 91-112'!D210</f>
        <v>0</v>
      </c>
      <c r="H50" s="334">
        <f>+'NEW...Tables 91-112'!D24</f>
        <v>12.94042925251992</v>
      </c>
      <c r="I50" s="331">
        <f>+'NEW...Tables 91-112'!D272</f>
        <v>0</v>
      </c>
      <c r="J50" s="329">
        <f>+'NEW...Tables 91-112'!D303</f>
        <v>20.501707198104661</v>
      </c>
      <c r="K50" s="329">
        <f>+'NEW...Tables 91-112'!D334</f>
        <v>24.60402839518359</v>
      </c>
      <c r="L50" s="329">
        <f>+'NEW...Tables 91-112'!D364</f>
        <v>22.715429762492459</v>
      </c>
      <c r="M50" s="331">
        <f>+'NEW...Tables 91-112'!D241</f>
        <v>23.052407789361734</v>
      </c>
      <c r="N50" s="332">
        <f>+'NEW...Tables 91-112'!D425</f>
        <v>0</v>
      </c>
      <c r="O50" s="333">
        <f>+'NEW...Tables 91-112'!D455</f>
        <v>0</v>
      </c>
      <c r="P50" s="334">
        <f>+'NEW...Tables 91-112'!D395</f>
        <v>0</v>
      </c>
      <c r="Q50" s="172">
        <f>+'NEW...Tables 87-90'!H50-OLD...Tables!H50</f>
        <v>1.0184056877734733</v>
      </c>
      <c r="R50" s="172">
        <f>+'NEW...Tables 87-90'!M50-OLD...Tables!M50</f>
        <v>2.2008532924802964</v>
      </c>
      <c r="S50" s="172">
        <f>+'NEW...Tables 87-90'!P50-OLD...Tables!P50</f>
        <v>0</v>
      </c>
      <c r="T50" s="150"/>
      <c r="U50" s="261"/>
      <c r="V50" s="261"/>
      <c r="W50" s="261"/>
      <c r="X50" s="118"/>
      <c r="Y50" s="150"/>
      <c r="Z50" s="150"/>
      <c r="AA50" s="150"/>
      <c r="AB50" s="262"/>
      <c r="AC50" s="262"/>
      <c r="AD50" s="262"/>
      <c r="AE50" s="262"/>
      <c r="AF50" s="262"/>
      <c r="AG50" s="262"/>
      <c r="AH50" s="262"/>
      <c r="AI50" s="262"/>
      <c r="AJ50" s="262"/>
      <c r="AK50" s="262"/>
      <c r="AL50" s="262"/>
      <c r="AM50" s="262"/>
      <c r="AN50" s="262"/>
      <c r="AO50" s="243"/>
    </row>
    <row r="51" spans="1:41" s="59" customFormat="1" ht="16.5" customHeight="1">
      <c r="A51" s="40" t="s">
        <v>666</v>
      </c>
      <c r="B51" s="329">
        <f>+'NEW...Tables 91-112'!D57</f>
        <v>7.2262879890512268</v>
      </c>
      <c r="C51" s="329">
        <f>+'NEW...Tables 91-112'!D88</f>
        <v>6.9746858267284422</v>
      </c>
      <c r="D51" s="329">
        <f>+'NEW...Tables 91-112'!D119</f>
        <v>7.4715351489644259</v>
      </c>
      <c r="E51" s="329">
        <f>+'NEW...Tables 91-112'!D150</f>
        <v>37.102585841458243</v>
      </c>
      <c r="F51" s="329">
        <f>+'NEW...Tables 91-112'!D180</f>
        <v>17.473512343159353</v>
      </c>
      <c r="G51" s="329">
        <f>+'NEW...Tables 91-112'!D211</f>
        <v>1.2125866494209899E-2</v>
      </c>
      <c r="H51" s="334">
        <f>+'NEW...Tables 91-112'!D25</f>
        <v>7.9300281876666876</v>
      </c>
      <c r="I51" s="331">
        <f>+'NEW...Tables 91-112'!D273</f>
        <v>17.221891015444335</v>
      </c>
      <c r="J51" s="329">
        <f>+'NEW...Tables 91-112'!D304</f>
        <v>17.287213228610852</v>
      </c>
      <c r="K51" s="329">
        <f>+'NEW...Tables 91-112'!D335</f>
        <v>18.24209086615528</v>
      </c>
      <c r="L51" s="329">
        <f>+'NEW...Tables 91-112'!D365</f>
        <v>22.438183843825865</v>
      </c>
      <c r="M51" s="331">
        <f>+'NEW...Tables 91-112'!D242</f>
        <v>17.635748938910865</v>
      </c>
      <c r="N51" s="332">
        <f>+'NEW...Tables 91-112'!D426</f>
        <v>0</v>
      </c>
      <c r="O51" s="333">
        <f>+'NEW...Tables 91-112'!D456</f>
        <v>0</v>
      </c>
      <c r="P51" s="334">
        <f>+'NEW...Tables 91-112'!D396</f>
        <v>0</v>
      </c>
      <c r="Q51" s="172">
        <f>+'NEW...Tables 87-90'!H51-OLD...Tables!H51</f>
        <v>1.9061265363857478</v>
      </c>
      <c r="R51" s="172">
        <f>+'NEW...Tables 87-90'!M51-OLD...Tables!M51</f>
        <v>1.2703179373279703</v>
      </c>
      <c r="S51" s="172">
        <f>+'NEW...Tables 87-90'!P51-OLD...Tables!P51</f>
        <v>0</v>
      </c>
      <c r="T51" s="150"/>
      <c r="U51" s="261"/>
      <c r="V51" s="261"/>
      <c r="W51" s="261"/>
      <c r="X51" s="118"/>
      <c r="Y51" s="150"/>
      <c r="Z51" s="150"/>
      <c r="AA51" s="150"/>
      <c r="AB51" s="262"/>
      <c r="AC51" s="243"/>
      <c r="AD51" s="243"/>
      <c r="AE51" s="243"/>
      <c r="AF51" s="243"/>
      <c r="AG51" s="243"/>
      <c r="AH51" s="243"/>
      <c r="AI51" s="243"/>
      <c r="AJ51" s="243"/>
      <c r="AK51" s="243"/>
      <c r="AL51" s="243"/>
      <c r="AM51" s="243"/>
      <c r="AN51" s="243"/>
      <c r="AO51" s="60"/>
    </row>
    <row r="52" spans="1:41" s="59" customFormat="1" ht="14.25" customHeight="1">
      <c r="A52" s="40" t="s">
        <v>667</v>
      </c>
      <c r="B52" s="329">
        <f>+'NEW...Tables 91-112'!D58</f>
        <v>3.8716703275752256</v>
      </c>
      <c r="C52" s="329">
        <f>+'NEW...Tables 91-112'!D89</f>
        <v>1.9051136037094689</v>
      </c>
      <c r="D52" s="329">
        <f>+'NEW...Tables 91-112'!D120</f>
        <v>2.809798270893372</v>
      </c>
      <c r="E52" s="329">
        <f>+'NEW...Tables 91-112'!D151</f>
        <v>2.0145673216693298</v>
      </c>
      <c r="F52" s="329">
        <f>+'NEW...Tables 91-112'!D181</f>
        <v>2.1689372472316069</v>
      </c>
      <c r="G52" s="329">
        <f>+'NEW...Tables 91-112'!D212</f>
        <v>3.984983320280211</v>
      </c>
      <c r="H52" s="334">
        <f>+'NEW...Tables 91-112'!D26</f>
        <v>3.0560266649633219</v>
      </c>
      <c r="I52" s="331">
        <f>+'NEW...Tables 91-112'!D274</f>
        <v>0</v>
      </c>
      <c r="J52" s="329">
        <f>+'NEW...Tables 91-112'!D305</f>
        <v>22.563775171414154</v>
      </c>
      <c r="K52" s="329">
        <f>+'NEW...Tables 91-112'!D336</f>
        <v>22.178190318540455</v>
      </c>
      <c r="L52" s="329">
        <f>+'NEW...Tables 91-112'!D366</f>
        <v>32.706883950082563</v>
      </c>
      <c r="M52" s="331">
        <f>+'NEW...Tables 91-112'!D243</f>
        <v>23.626908433774432</v>
      </c>
      <c r="N52" s="332">
        <f>+'NEW...Tables 91-112'!D427</f>
        <v>0</v>
      </c>
      <c r="O52" s="333">
        <f>+'NEW...Tables 91-112'!D457</f>
        <v>0</v>
      </c>
      <c r="P52" s="334">
        <f>+'NEW...Tables 91-112'!D397</f>
        <v>0</v>
      </c>
      <c r="Q52" s="172">
        <f>+'NEW...Tables 87-90'!H52-OLD...Tables!H52</f>
        <v>3.0560266649633219</v>
      </c>
      <c r="R52" s="172">
        <f>+'NEW...Tables 87-90'!M52-OLD...Tables!M52</f>
        <v>23.626908433774432</v>
      </c>
      <c r="S52" s="172">
        <f>+'NEW...Tables 87-90'!P52-OLD...Tables!P52</f>
        <v>0</v>
      </c>
      <c r="T52" s="150"/>
      <c r="U52" s="261"/>
      <c r="V52" s="261"/>
      <c r="W52" s="261"/>
      <c r="X52" s="118"/>
      <c r="Y52" s="150"/>
      <c r="Z52" s="150"/>
      <c r="AA52" s="150"/>
      <c r="AB52" s="262"/>
      <c r="AC52" s="243"/>
      <c r="AD52" s="243"/>
      <c r="AE52" s="243"/>
      <c r="AF52" s="243"/>
      <c r="AG52" s="243"/>
      <c r="AH52" s="243"/>
      <c r="AI52" s="243"/>
      <c r="AJ52" s="243"/>
      <c r="AK52" s="243"/>
      <c r="AL52" s="243"/>
      <c r="AM52" s="243"/>
      <c r="AN52" s="243"/>
      <c r="AO52" s="60"/>
    </row>
    <row r="53" spans="1:41" s="59" customFormat="1" ht="15" customHeight="1">
      <c r="A53" s="40" t="s">
        <v>668</v>
      </c>
      <c r="B53" s="329">
        <f>+'NEW...Tables 91-112'!D59</f>
        <v>6.5356241178152876</v>
      </c>
      <c r="C53" s="329">
        <f>+'NEW...Tables 91-112'!D90</f>
        <v>0</v>
      </c>
      <c r="D53" s="329">
        <f>+'NEW...Tables 91-112'!D121</f>
        <v>13.00097751710655</v>
      </c>
      <c r="E53" s="329">
        <f>+'NEW...Tables 91-112'!D152</f>
        <v>0</v>
      </c>
      <c r="F53" s="329">
        <f>+'NEW...Tables 91-112'!D182</f>
        <v>6.8915870806738013</v>
      </c>
      <c r="G53" s="329">
        <f>+'NEW...Tables 91-112'!D213</f>
        <v>10.933572318520623</v>
      </c>
      <c r="H53" s="334">
        <f>+'NEW...Tables 91-112'!D27</f>
        <v>8.7978387934981459</v>
      </c>
      <c r="I53" s="331">
        <f>+'NEW...Tables 91-112'!D275</f>
        <v>18.137938861480329</v>
      </c>
      <c r="J53" s="329">
        <f>+'NEW...Tables 91-112'!D306</f>
        <v>0</v>
      </c>
      <c r="K53" s="329">
        <f>+'NEW...Tables 91-112'!D337</f>
        <v>0</v>
      </c>
      <c r="L53" s="329">
        <f>+'NEW...Tables 91-112'!D367</f>
        <v>17.137035641763067</v>
      </c>
      <c r="M53" s="331">
        <f>+'NEW...Tables 91-112'!D244</f>
        <v>17.393266031244714</v>
      </c>
      <c r="N53" s="332">
        <f>+'NEW...Tables 91-112'!D428</f>
        <v>0</v>
      </c>
      <c r="O53" s="333">
        <f>+'NEW...Tables 91-112'!D458</f>
        <v>0</v>
      </c>
      <c r="P53" s="334">
        <f>+'NEW...Tables 91-112'!D398</f>
        <v>0</v>
      </c>
      <c r="Q53" s="172">
        <f>+'NEW...Tables 87-90'!H53-OLD...Tables!H53</f>
        <v>0.99289862699257458</v>
      </c>
      <c r="R53" s="172">
        <f>+'NEW...Tables 87-90'!M53-OLD...Tables!M53</f>
        <v>2.3246688032451157</v>
      </c>
      <c r="S53" s="172">
        <f>+'NEW...Tables 87-90'!P53-OLD...Tables!P53</f>
        <v>0</v>
      </c>
      <c r="T53" s="150"/>
      <c r="U53" s="261"/>
      <c r="V53" s="261"/>
      <c r="W53" s="261"/>
      <c r="X53" s="118"/>
      <c r="Y53" s="150"/>
      <c r="Z53" s="150"/>
      <c r="AA53" s="150"/>
      <c r="AB53" s="262"/>
      <c r="AC53" s="243"/>
      <c r="AD53" s="243"/>
      <c r="AE53" s="243"/>
      <c r="AF53" s="243"/>
      <c r="AG53" s="243"/>
      <c r="AH53" s="243"/>
      <c r="AI53" s="243"/>
      <c r="AJ53" s="243"/>
      <c r="AK53" s="243"/>
      <c r="AL53" s="243"/>
      <c r="AM53" s="243"/>
      <c r="AN53" s="243"/>
      <c r="AO53" s="60"/>
    </row>
    <row r="54" spans="1:41" s="59" customFormat="1" ht="28.5" customHeight="1">
      <c r="A54" s="633" t="s">
        <v>674</v>
      </c>
      <c r="B54" s="634"/>
      <c r="C54" s="634"/>
      <c r="D54" s="634"/>
      <c r="E54" s="634"/>
      <c r="F54" s="634"/>
      <c r="G54" s="634"/>
      <c r="H54" s="634"/>
      <c r="I54" s="634"/>
      <c r="J54" s="634"/>
      <c r="K54" s="634"/>
      <c r="L54" s="634"/>
      <c r="M54" s="634"/>
      <c r="N54" s="634"/>
      <c r="O54" s="634"/>
      <c r="P54" s="634"/>
      <c r="Q54" s="61"/>
      <c r="R54" s="61"/>
      <c r="S54" s="61"/>
      <c r="T54" s="62"/>
      <c r="U54" s="62"/>
      <c r="V54" s="62"/>
      <c r="W54" s="62"/>
      <c r="X54" s="62"/>
      <c r="Y54" s="62"/>
      <c r="Z54" s="62"/>
      <c r="AA54" s="62"/>
      <c r="AB54" s="62"/>
      <c r="AC54" s="60"/>
      <c r="AD54" s="60"/>
      <c r="AE54" s="60"/>
      <c r="AF54" s="60"/>
      <c r="AG54" s="60"/>
      <c r="AH54" s="60"/>
      <c r="AI54" s="60"/>
      <c r="AJ54" s="60"/>
      <c r="AK54" s="60"/>
      <c r="AL54" s="60"/>
      <c r="AM54" s="60"/>
      <c r="AN54" s="60"/>
      <c r="AO54" s="60"/>
    </row>
    <row r="55" spans="1:41" s="59" customFormat="1" ht="16.5" customHeight="1">
      <c r="A55" s="58" t="s">
        <v>675</v>
      </c>
      <c r="H55" s="60"/>
      <c r="M55" s="61"/>
      <c r="P55" s="60"/>
      <c r="Q55" s="61"/>
      <c r="R55" s="61"/>
      <c r="S55" s="61"/>
      <c r="T55" s="61"/>
      <c r="U55" s="61"/>
      <c r="V55" s="61"/>
      <c r="W55" s="61"/>
      <c r="X55" s="61"/>
      <c r="Y55" s="61"/>
      <c r="Z55" s="61"/>
      <c r="AA55" s="61"/>
      <c r="AB55" s="61"/>
    </row>
    <row r="56" spans="1:41" s="40" customFormat="1" ht="3" customHeight="1">
      <c r="A56" s="129"/>
      <c r="B56" s="178"/>
      <c r="C56" s="178"/>
      <c r="D56" s="178"/>
      <c r="E56" s="178"/>
      <c r="F56" s="178"/>
      <c r="G56" s="178"/>
      <c r="H56" s="247"/>
      <c r="I56" s="178"/>
      <c r="J56" s="178"/>
      <c r="K56" s="178"/>
      <c r="L56" s="178"/>
      <c r="M56" s="178"/>
      <c r="N56" s="178"/>
      <c r="O56" s="178"/>
      <c r="P56" s="247"/>
      <c r="Q56" s="59"/>
      <c r="R56" s="59"/>
      <c r="S56" s="59"/>
      <c r="T56" s="59"/>
      <c r="U56" s="59"/>
      <c r="V56" s="59"/>
      <c r="W56" s="59"/>
      <c r="X56" s="59"/>
      <c r="Y56" s="59"/>
      <c r="Z56" s="59"/>
      <c r="AA56" s="59"/>
      <c r="AB56" s="59"/>
      <c r="AC56" s="59"/>
      <c r="AD56" s="59"/>
      <c r="AE56" s="59"/>
      <c r="AF56" s="59"/>
      <c r="AG56" s="59"/>
      <c r="AH56" s="59"/>
      <c r="AI56" s="59"/>
      <c r="AJ56" s="59"/>
      <c r="AK56" s="59"/>
      <c r="AL56" s="59"/>
      <c r="AM56" s="59"/>
      <c r="AN56" s="59"/>
    </row>
    <row r="57" spans="1:41">
      <c r="A57" s="59"/>
      <c r="B57" s="59"/>
      <c r="C57" s="59"/>
      <c r="D57" s="59"/>
      <c r="E57" s="59"/>
      <c r="F57" s="59"/>
      <c r="G57" s="59"/>
      <c r="H57" s="60"/>
      <c r="I57" s="59"/>
      <c r="J57" s="59"/>
      <c r="K57" s="59"/>
      <c r="L57" s="59"/>
      <c r="M57" s="63"/>
      <c r="N57" s="59"/>
      <c r="O57" s="59"/>
      <c r="P57" s="64" t="s">
        <v>1034</v>
      </c>
      <c r="Q57" s="59"/>
      <c r="R57" s="59"/>
      <c r="S57" s="59"/>
      <c r="T57" s="59"/>
      <c r="U57" s="59"/>
      <c r="V57" s="59"/>
      <c r="W57" s="59"/>
      <c r="X57" s="59"/>
      <c r="Y57" s="59"/>
      <c r="Z57" s="59"/>
      <c r="AA57" s="59"/>
      <c r="AB57" s="59"/>
      <c r="AC57" s="59"/>
      <c r="AD57" s="59"/>
      <c r="AE57" s="59"/>
      <c r="AF57" s="59"/>
      <c r="AG57" s="59"/>
      <c r="AH57" s="59"/>
      <c r="AI57" s="59"/>
      <c r="AJ57" s="59"/>
      <c r="AK57" s="59"/>
      <c r="AL57" s="59"/>
      <c r="AM57" s="59"/>
      <c r="AN57" s="59"/>
    </row>
    <row r="58" spans="1:41" ht="18">
      <c r="A58" s="31" t="s">
        <v>676</v>
      </c>
      <c r="B58" s="32"/>
      <c r="C58" s="32"/>
      <c r="D58" s="32"/>
      <c r="E58" s="32"/>
      <c r="F58" s="32"/>
      <c r="G58" s="234"/>
      <c r="H58" s="235"/>
      <c r="I58" s="248" t="s">
        <v>59</v>
      </c>
      <c r="J58" s="248"/>
      <c r="K58" s="248"/>
      <c r="L58" s="248"/>
      <c r="M58" s="249"/>
    </row>
    <row r="59" spans="1:41" ht="9.75" customHeight="1">
      <c r="A59" s="37"/>
      <c r="B59" s="36"/>
      <c r="C59" s="36"/>
      <c r="D59" s="36"/>
      <c r="E59" s="36"/>
      <c r="F59" s="36"/>
      <c r="G59" s="36"/>
      <c r="H59" s="38"/>
      <c r="I59" s="75"/>
      <c r="J59" s="75"/>
      <c r="K59" s="75"/>
      <c r="L59" s="75"/>
      <c r="M59" s="76"/>
      <c r="N59" s="40"/>
      <c r="O59" s="40"/>
      <c r="P59" s="65"/>
      <c r="Q59" s="40"/>
      <c r="R59" s="40"/>
      <c r="S59" s="40"/>
      <c r="T59" s="40"/>
      <c r="U59" s="40"/>
      <c r="V59" s="40"/>
      <c r="W59" s="40"/>
      <c r="X59" s="40"/>
      <c r="Y59" s="40"/>
      <c r="Z59" s="40"/>
      <c r="AA59" s="40"/>
      <c r="AB59" s="40"/>
      <c r="AC59" s="40"/>
      <c r="AD59" s="40"/>
      <c r="AE59" s="40"/>
      <c r="AF59" s="40"/>
      <c r="AG59" s="40"/>
      <c r="AH59" s="40"/>
      <c r="AI59" s="40"/>
      <c r="AJ59" s="40"/>
      <c r="AK59" s="40"/>
      <c r="AL59" s="40"/>
      <c r="AM59" s="40"/>
      <c r="AN59" s="40"/>
    </row>
    <row r="60" spans="1:41" ht="18">
      <c r="A60" s="238" t="s">
        <v>677</v>
      </c>
      <c r="B60" s="32"/>
      <c r="C60" s="32"/>
      <c r="D60" s="32"/>
      <c r="E60" s="32"/>
      <c r="F60" s="32"/>
      <c r="G60" s="234"/>
      <c r="H60" s="235"/>
      <c r="I60" s="248" t="s">
        <v>59</v>
      </c>
      <c r="J60" s="248"/>
      <c r="K60" s="248"/>
      <c r="L60" s="248"/>
      <c r="M60" s="249"/>
    </row>
    <row r="61" spans="1:41" s="49" customFormat="1" ht="15.75">
      <c r="A61" s="238" t="s">
        <v>678</v>
      </c>
      <c r="B61" s="36"/>
      <c r="C61" s="36"/>
      <c r="D61" s="36"/>
      <c r="E61" s="36"/>
      <c r="F61" s="36"/>
      <c r="G61" s="234"/>
      <c r="H61" s="235"/>
      <c r="I61" s="248" t="s">
        <v>59</v>
      </c>
      <c r="J61" s="248"/>
      <c r="K61" s="248"/>
      <c r="L61" s="248"/>
      <c r="M61" s="249"/>
      <c r="N61" s="237"/>
      <c r="O61" s="237"/>
      <c r="P61" s="243"/>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row>
    <row r="62" spans="1:41" s="56" customFormat="1" ht="15.75">
      <c r="A62" s="238" t="s">
        <v>1007</v>
      </c>
      <c r="B62" s="36"/>
      <c r="C62" s="36"/>
      <c r="D62" s="36"/>
      <c r="E62" s="36"/>
      <c r="F62" s="36"/>
      <c r="G62" s="234"/>
      <c r="H62" s="235"/>
      <c r="I62" s="248" t="s">
        <v>59</v>
      </c>
      <c r="J62" s="248"/>
      <c r="K62" s="248"/>
      <c r="L62" s="248"/>
      <c r="M62" s="249"/>
      <c r="N62" s="237"/>
      <c r="O62" s="237"/>
      <c r="P62" s="243"/>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row>
    <row r="63" spans="1:41" ht="12" customHeight="1">
      <c r="A63" s="239"/>
      <c r="B63" s="240"/>
      <c r="C63" s="240"/>
      <c r="D63" s="240"/>
      <c r="E63" s="240"/>
      <c r="F63" s="240"/>
      <c r="G63" s="240"/>
      <c r="H63" s="241"/>
      <c r="I63" s="242"/>
      <c r="J63" s="242"/>
      <c r="K63" s="242"/>
      <c r="L63" s="242"/>
    </row>
    <row r="64" spans="1:41" ht="15.75" customHeight="1">
      <c r="A64" s="244"/>
      <c r="B64" s="323" t="s">
        <v>565</v>
      </c>
      <c r="C64" s="323"/>
      <c r="D64" s="323"/>
      <c r="E64" s="323"/>
      <c r="F64" s="323"/>
      <c r="G64" s="323"/>
      <c r="H64" s="323"/>
      <c r="I64" s="69" t="s">
        <v>59</v>
      </c>
      <c r="J64" s="69"/>
      <c r="K64" s="69"/>
      <c r="L64" s="69"/>
      <c r="M64" s="69"/>
      <c r="N64" s="49"/>
      <c r="O64" s="49"/>
      <c r="P64" s="77"/>
      <c r="Q64" s="49"/>
      <c r="R64" s="49"/>
      <c r="S64" s="49"/>
      <c r="T64" s="49"/>
      <c r="U64" s="49"/>
      <c r="V64" s="49"/>
      <c r="W64" s="49"/>
      <c r="X64" s="49"/>
      <c r="Y64" s="49"/>
      <c r="Z64" s="49"/>
      <c r="AA64" s="49"/>
      <c r="AB64" s="49"/>
      <c r="AC64" s="49"/>
      <c r="AD64" s="49"/>
      <c r="AE64" s="49"/>
      <c r="AF64" s="49"/>
      <c r="AG64" s="49"/>
      <c r="AH64" s="49"/>
      <c r="AI64" s="49"/>
      <c r="AJ64" s="49"/>
      <c r="AK64" s="49"/>
      <c r="AL64" s="49"/>
      <c r="AM64" s="49"/>
      <c r="AN64" s="49"/>
    </row>
    <row r="65" spans="1:40" ht="15.75" customHeight="1">
      <c r="A65" s="245"/>
      <c r="B65" s="325">
        <v>1</v>
      </c>
      <c r="C65" s="325">
        <v>2</v>
      </c>
      <c r="D65" s="325">
        <v>3</v>
      </c>
      <c r="E65" s="325">
        <v>4</v>
      </c>
      <c r="F65" s="325">
        <v>5</v>
      </c>
      <c r="G65" s="325">
        <v>6</v>
      </c>
      <c r="H65" s="320" t="s">
        <v>651</v>
      </c>
      <c r="I65" s="69"/>
      <c r="J65" s="69"/>
      <c r="K65" s="69"/>
      <c r="L65" s="69"/>
      <c r="M65" s="69"/>
      <c r="N65" s="56"/>
      <c r="O65" s="56"/>
      <c r="P65" s="78"/>
      <c r="Q65" s="56"/>
      <c r="R65" s="56"/>
      <c r="S65" s="56"/>
      <c r="T65" s="56"/>
      <c r="U65" s="56"/>
      <c r="V65" s="56"/>
      <c r="W65" s="56"/>
      <c r="X65" s="56"/>
      <c r="Y65" s="56"/>
      <c r="Z65" s="56"/>
      <c r="AA65" s="56"/>
      <c r="AB65" s="56"/>
      <c r="AC65" s="56"/>
      <c r="AD65" s="56"/>
      <c r="AE65" s="56"/>
      <c r="AF65" s="56"/>
      <c r="AG65" s="56"/>
      <c r="AH65" s="56"/>
      <c r="AI65" s="56"/>
      <c r="AJ65" s="56"/>
      <c r="AK65" s="56"/>
      <c r="AL65" s="56"/>
      <c r="AM65" s="56"/>
      <c r="AN65" s="56"/>
    </row>
    <row r="66" spans="1:40" ht="15.75" customHeight="1">
      <c r="A66" s="40" t="s">
        <v>653</v>
      </c>
      <c r="B66" s="337">
        <f>+'NEW...Tables 91-112'!J41+'NEW...Tables 91-112'!K41</f>
        <v>89.078382316086362</v>
      </c>
      <c r="C66" s="337">
        <f>+'NEW...Tables 91-112'!J72+'NEW...Tables 91-112'!K72</f>
        <v>83.691690962099131</v>
      </c>
      <c r="D66" s="337">
        <f>+'NEW...Tables 91-112'!J103+'NEW...Tables 91-112'!K103</f>
        <v>69.937029496709428</v>
      </c>
      <c r="E66" s="337">
        <f>+'NEW...Tables 91-112'!J134+'NEW...Tables 91-112'!K134</f>
        <v>77.70156119603493</v>
      </c>
      <c r="F66" s="337">
        <f>+'NEW...Tables 91-112'!J164+'NEW...Tables 91-112'!K164</f>
        <v>25.862336989377322</v>
      </c>
      <c r="G66" s="337">
        <f>+'NEW...Tables 91-112'!J195+'NEW...Tables 91-112'!K195</f>
        <v>0</v>
      </c>
      <c r="H66" s="338">
        <f>+'NEW...Tables 91-112'!J9+'NEW...Tables 91-112'!K9</f>
        <v>75.549782555042086</v>
      </c>
      <c r="I66" s="250"/>
      <c r="J66" s="250"/>
      <c r="K66" s="250"/>
      <c r="L66" s="250"/>
      <c r="M66" s="250"/>
    </row>
    <row r="67" spans="1:40" ht="15.75" customHeight="1">
      <c r="A67" s="40" t="s">
        <v>654</v>
      </c>
      <c r="B67" s="339">
        <f>+'NEW...Tables 91-112'!J42+'NEW...Tables 91-112'!K42</f>
        <v>80.065886960203215</v>
      </c>
      <c r="C67" s="339">
        <f>+'NEW...Tables 91-112'!J73+'NEW...Tables 91-112'!K73</f>
        <v>0</v>
      </c>
      <c r="D67" s="339">
        <f>+'NEW...Tables 91-112'!J104+'NEW...Tables 91-112'!K104</f>
        <v>57.736496810731026</v>
      </c>
      <c r="E67" s="339">
        <f>+'NEW...Tables 91-112'!J135+'NEW...Tables 91-112'!K135</f>
        <v>73.854023214637024</v>
      </c>
      <c r="F67" s="339">
        <f>+'NEW...Tables 91-112'!J165+'NEW...Tables 91-112'!K165</f>
        <v>39.975538620754534</v>
      </c>
      <c r="G67" s="339">
        <f>+'NEW...Tables 91-112'!J196+'NEW...Tables 91-112'!K196</f>
        <v>80.44090056285178</v>
      </c>
      <c r="H67" s="334">
        <f>+'NEW...Tables 91-112'!J10+'NEW...Tables 91-112'!K10</f>
        <v>64.880331004213744</v>
      </c>
      <c r="I67" s="250"/>
      <c r="J67" s="250"/>
      <c r="K67" s="250"/>
      <c r="L67" s="250"/>
      <c r="M67" s="250"/>
    </row>
    <row r="68" spans="1:40" ht="15.75" customHeight="1">
      <c r="A68" s="40" t="s">
        <v>655</v>
      </c>
      <c r="B68" s="339">
        <f>+'NEW...Tables 91-112'!J43+'NEW...Tables 91-112'!K43</f>
        <v>0</v>
      </c>
      <c r="C68" s="339">
        <f>+'NEW...Tables 91-112'!J74+'NEW...Tables 91-112'!K74</f>
        <v>0</v>
      </c>
      <c r="D68" s="339">
        <f>+'NEW...Tables 91-112'!J105+'NEW...Tables 91-112'!K105</f>
        <v>0</v>
      </c>
      <c r="E68" s="339">
        <f>+'NEW...Tables 91-112'!J136+'NEW...Tables 91-112'!K136</f>
        <v>0</v>
      </c>
      <c r="F68" s="339">
        <f>+'NEW...Tables 91-112'!J166+'NEW...Tables 91-112'!K166</f>
        <v>0</v>
      </c>
      <c r="G68" s="339">
        <f>+'NEW...Tables 91-112'!J197+'NEW...Tables 91-112'!K197</f>
        <v>0</v>
      </c>
      <c r="H68" s="334">
        <f>+'NEW...Tables 91-112'!J11+'NEW...Tables 91-112'!K11</f>
        <v>0</v>
      </c>
      <c r="I68" s="250"/>
      <c r="J68" s="250"/>
      <c r="K68" s="250"/>
      <c r="L68" s="250"/>
      <c r="M68" s="250"/>
    </row>
    <row r="69" spans="1:40" ht="15.75" customHeight="1">
      <c r="A69" s="40" t="s">
        <v>656</v>
      </c>
      <c r="B69" s="339">
        <f>+'NEW...Tables 91-112'!J44+'NEW...Tables 91-112'!K44</f>
        <v>77.656640561102236</v>
      </c>
      <c r="C69" s="339">
        <f>+'NEW...Tables 91-112'!J75+'NEW...Tables 91-112'!K75</f>
        <v>75.675274378549602</v>
      </c>
      <c r="D69" s="339">
        <f>+'NEW...Tables 91-112'!J106+'NEW...Tables 91-112'!K106</f>
        <v>77.030339104707551</v>
      </c>
      <c r="E69" s="339">
        <f>+'NEW...Tables 91-112'!J137+'NEW...Tables 91-112'!K137</f>
        <v>57.849489160229254</v>
      </c>
      <c r="F69" s="339">
        <f>+'NEW...Tables 91-112'!J167+'NEW...Tables 91-112'!K167</f>
        <v>0</v>
      </c>
      <c r="G69" s="339">
        <f>+'NEW...Tables 91-112'!J198+'NEW...Tables 91-112'!K198</f>
        <v>0</v>
      </c>
      <c r="H69" s="334">
        <f>+'NEW...Tables 91-112'!J12+'NEW...Tables 91-112'!K12</f>
        <v>77.096266538026583</v>
      </c>
      <c r="I69" s="250"/>
      <c r="J69" s="250"/>
      <c r="K69" s="250"/>
      <c r="L69" s="250"/>
      <c r="M69" s="250"/>
    </row>
    <row r="70" spans="1:40" ht="15.75" customHeight="1">
      <c r="A70" s="40"/>
      <c r="B70" s="339">
        <f>+'NEW...Tables 91-112'!J45+'NEW...Tables 91-112'!K45</f>
        <v>0</v>
      </c>
      <c r="C70" s="339">
        <f>+'NEW...Tables 91-112'!J76+'NEW...Tables 91-112'!K76</f>
        <v>0</v>
      </c>
      <c r="D70" s="339">
        <f>+'NEW...Tables 91-112'!J107+'NEW...Tables 91-112'!K107</f>
        <v>0</v>
      </c>
      <c r="E70" s="339">
        <f>+'NEW...Tables 91-112'!J138+'NEW...Tables 91-112'!K138</f>
        <v>0</v>
      </c>
      <c r="F70" s="339">
        <f>+'NEW...Tables 91-112'!J168+'NEW...Tables 91-112'!K168</f>
        <v>0</v>
      </c>
      <c r="G70" s="339">
        <f>+'NEW...Tables 91-112'!J199+'NEW...Tables 91-112'!K199</f>
        <v>0</v>
      </c>
      <c r="H70" s="334">
        <f>+'NEW...Tables 91-112'!J13+'NEW...Tables 91-112'!K13</f>
        <v>0</v>
      </c>
      <c r="I70" s="250"/>
      <c r="J70" s="250"/>
      <c r="K70" s="250"/>
      <c r="L70" s="250"/>
      <c r="M70" s="250"/>
    </row>
    <row r="71" spans="1:40" ht="15.75" customHeight="1">
      <c r="A71" s="40" t="s">
        <v>657</v>
      </c>
      <c r="B71" s="339">
        <f>+'NEW...Tables 91-112'!J46+'NEW...Tables 91-112'!K46</f>
        <v>0</v>
      </c>
      <c r="C71" s="339">
        <f>+'NEW...Tables 91-112'!J77+'NEW...Tables 91-112'!K77</f>
        <v>0</v>
      </c>
      <c r="D71" s="339">
        <f>+'NEW...Tables 91-112'!J108+'NEW...Tables 91-112'!K108</f>
        <v>0</v>
      </c>
      <c r="E71" s="339">
        <f>+'NEW...Tables 91-112'!J139+'NEW...Tables 91-112'!K139</f>
        <v>0</v>
      </c>
      <c r="F71" s="339">
        <f>+'NEW...Tables 91-112'!J169+'NEW...Tables 91-112'!K169</f>
        <v>0</v>
      </c>
      <c r="G71" s="339">
        <f>+'NEW...Tables 91-112'!J200+'NEW...Tables 91-112'!K200</f>
        <v>0</v>
      </c>
      <c r="H71" s="334">
        <f>+'NEW...Tables 91-112'!J14+'NEW...Tables 91-112'!K14</f>
        <v>0</v>
      </c>
      <c r="I71" s="250"/>
      <c r="J71" s="250"/>
      <c r="K71" s="250"/>
      <c r="L71" s="250"/>
      <c r="M71" s="250"/>
    </row>
    <row r="72" spans="1:40" ht="15.75" customHeight="1">
      <c r="A72" s="40" t="s">
        <v>658</v>
      </c>
      <c r="B72" s="339">
        <f>+'NEW...Tables 91-112'!J47+'NEW...Tables 91-112'!K47</f>
        <v>92.10662395318333</v>
      </c>
      <c r="C72" s="339">
        <f>+'NEW...Tables 91-112'!J78+'NEW...Tables 91-112'!K78</f>
        <v>0</v>
      </c>
      <c r="D72" s="339">
        <f>+'NEW...Tables 91-112'!J109+'NEW...Tables 91-112'!K109</f>
        <v>53.345799385601708</v>
      </c>
      <c r="E72" s="339">
        <f>+'NEW...Tables 91-112'!J140+'NEW...Tables 91-112'!K140</f>
        <v>78.111389571522409</v>
      </c>
      <c r="F72" s="339">
        <f>+'NEW...Tables 91-112'!J170+'NEW...Tables 91-112'!K170</f>
        <v>0</v>
      </c>
      <c r="G72" s="339">
        <f>+'NEW...Tables 91-112'!J201+'NEW...Tables 91-112'!K201</f>
        <v>0</v>
      </c>
      <c r="H72" s="334">
        <f>+'NEW...Tables 91-112'!J15+'NEW...Tables 91-112'!K15</f>
        <v>75.258293215559362</v>
      </c>
      <c r="I72" s="250"/>
      <c r="J72" s="250"/>
      <c r="K72" s="250"/>
      <c r="L72" s="250"/>
      <c r="M72" s="250"/>
    </row>
    <row r="73" spans="1:40" ht="15.75" customHeight="1">
      <c r="A73" s="40" t="s">
        <v>659</v>
      </c>
      <c r="B73" s="339">
        <f>+'NEW...Tables 91-112'!J48+'NEW...Tables 91-112'!K48</f>
        <v>0</v>
      </c>
      <c r="C73" s="339">
        <f>+'NEW...Tables 91-112'!J79+'NEW...Tables 91-112'!K79</f>
        <v>0</v>
      </c>
      <c r="D73" s="339">
        <f>+'NEW...Tables 91-112'!J110+'NEW...Tables 91-112'!K110</f>
        <v>0</v>
      </c>
      <c r="E73" s="339">
        <f>+'NEW...Tables 91-112'!J141+'NEW...Tables 91-112'!K141</f>
        <v>0</v>
      </c>
      <c r="F73" s="339">
        <f>+'NEW...Tables 91-112'!J171+'NEW...Tables 91-112'!K171</f>
        <v>0</v>
      </c>
      <c r="G73" s="339">
        <f>+'NEW...Tables 91-112'!J202+'NEW...Tables 91-112'!K202</f>
        <v>0</v>
      </c>
      <c r="H73" s="334">
        <f>+'NEW...Tables 91-112'!J16+'NEW...Tables 91-112'!K16</f>
        <v>0</v>
      </c>
      <c r="I73" s="250"/>
      <c r="J73" s="250"/>
      <c r="K73" s="250"/>
      <c r="L73" s="250"/>
      <c r="M73" s="250"/>
    </row>
    <row r="74" spans="1:40" ht="15.75" customHeight="1">
      <c r="A74" s="40" t="s">
        <v>660</v>
      </c>
      <c r="B74" s="339">
        <f>+'NEW...Tables 91-112'!J49+'NEW...Tables 91-112'!K49</f>
        <v>95.922565149206775</v>
      </c>
      <c r="C74" s="339">
        <f>+'NEW...Tables 91-112'!J80+'NEW...Tables 91-112'!K80</f>
        <v>83.036773428232507</v>
      </c>
      <c r="D74" s="339">
        <f>+'NEW...Tables 91-112'!J111+'NEW...Tables 91-112'!K111</f>
        <v>91.044854638354963</v>
      </c>
      <c r="E74" s="339">
        <f>+'NEW...Tables 91-112'!J142+'NEW...Tables 91-112'!K142</f>
        <v>48.955863149647435</v>
      </c>
      <c r="F74" s="339">
        <f>+'NEW...Tables 91-112'!J172+'NEW...Tables 91-112'!K172</f>
        <v>0</v>
      </c>
      <c r="G74" s="339">
        <f>+'NEW...Tables 91-112'!J203+'NEW...Tables 91-112'!K203</f>
        <v>100</v>
      </c>
      <c r="H74" s="334">
        <f>+'NEW...Tables 91-112'!J17+'NEW...Tables 91-112'!K17</f>
        <v>54.223003020872198</v>
      </c>
      <c r="I74" s="250"/>
      <c r="J74" s="250"/>
      <c r="K74" s="250"/>
      <c r="L74" s="250"/>
      <c r="M74" s="250"/>
    </row>
    <row r="75" spans="1:40" ht="15.75" customHeight="1">
      <c r="A75" s="40"/>
      <c r="B75" s="339">
        <f>+'NEW...Tables 91-112'!J50+'NEW...Tables 91-112'!K50</f>
        <v>0</v>
      </c>
      <c r="C75" s="339">
        <f>+'NEW...Tables 91-112'!J81+'NEW...Tables 91-112'!K81</f>
        <v>0</v>
      </c>
      <c r="D75" s="339">
        <f>+'NEW...Tables 91-112'!J112+'NEW...Tables 91-112'!K112</f>
        <v>0</v>
      </c>
      <c r="E75" s="339">
        <f>+'NEW...Tables 91-112'!J143+'NEW...Tables 91-112'!K143</f>
        <v>0</v>
      </c>
      <c r="F75" s="339">
        <f>+'NEW...Tables 91-112'!J173+'NEW...Tables 91-112'!K173</f>
        <v>0</v>
      </c>
      <c r="G75" s="339">
        <f>+'NEW...Tables 91-112'!J204+'NEW...Tables 91-112'!K204</f>
        <v>0</v>
      </c>
      <c r="H75" s="334">
        <f>+'NEW...Tables 91-112'!J18+'NEW...Tables 91-112'!K18</f>
        <v>0</v>
      </c>
      <c r="I75" s="250"/>
      <c r="J75" s="250"/>
      <c r="K75" s="250"/>
      <c r="L75" s="250"/>
      <c r="M75" s="250"/>
    </row>
    <row r="76" spans="1:40" ht="15.75" customHeight="1">
      <c r="A76" s="40" t="s">
        <v>661</v>
      </c>
      <c r="B76" s="339">
        <f>+'NEW...Tables 91-112'!J51+'NEW...Tables 91-112'!K51</f>
        <v>75.709278433584458</v>
      </c>
      <c r="C76" s="339">
        <f>+'NEW...Tables 91-112'!J82+'NEW...Tables 91-112'!K82</f>
        <v>96.029055690072639</v>
      </c>
      <c r="D76" s="339">
        <f>+'NEW...Tables 91-112'!J113+'NEW...Tables 91-112'!K113</f>
        <v>0</v>
      </c>
      <c r="E76" s="339">
        <f>+'NEW...Tables 91-112'!J144+'NEW...Tables 91-112'!K144</f>
        <v>60.535108326807617</v>
      </c>
      <c r="F76" s="339">
        <f>+'NEW...Tables 91-112'!J174+'NEW...Tables 91-112'!K174</f>
        <v>72.472783825816492</v>
      </c>
      <c r="G76" s="339">
        <f>+'NEW...Tables 91-112'!J205+'NEW...Tables 91-112'!K205</f>
        <v>0</v>
      </c>
      <c r="H76" s="334">
        <f>+'NEW...Tables 91-112'!J19+'NEW...Tables 91-112'!K19</f>
        <v>80.371723565200824</v>
      </c>
      <c r="I76" s="250"/>
      <c r="J76" s="250"/>
      <c r="K76" s="250"/>
      <c r="L76" s="250"/>
      <c r="M76" s="250"/>
    </row>
    <row r="77" spans="1:40" ht="15.75" customHeight="1">
      <c r="A77" s="40" t="s">
        <v>662</v>
      </c>
      <c r="B77" s="339">
        <f>+'NEW...Tables 91-112'!J52+'NEW...Tables 91-112'!K52</f>
        <v>90.254832371174857</v>
      </c>
      <c r="C77" s="339">
        <f>+'NEW...Tables 91-112'!J83+'NEW...Tables 91-112'!K83</f>
        <v>84.127169616772633</v>
      </c>
      <c r="D77" s="339">
        <f>+'NEW...Tables 91-112'!J114+'NEW...Tables 91-112'!K114</f>
        <v>71.174793321736644</v>
      </c>
      <c r="E77" s="339">
        <f>+'NEW...Tables 91-112'!J145+'NEW...Tables 91-112'!K145</f>
        <v>75.736458663287934</v>
      </c>
      <c r="F77" s="339">
        <f>+'NEW...Tables 91-112'!J175+'NEW...Tables 91-112'!K175</f>
        <v>70.081367708904736</v>
      </c>
      <c r="G77" s="339">
        <f>+'NEW...Tables 91-112'!J206+'NEW...Tables 91-112'!K206</f>
        <v>75.971033574720209</v>
      </c>
      <c r="H77" s="334">
        <f>+'NEW...Tables 91-112'!J20+'NEW...Tables 91-112'!K20</f>
        <v>81.581999742809813</v>
      </c>
      <c r="I77" s="250"/>
      <c r="J77" s="250"/>
      <c r="K77" s="250"/>
      <c r="L77" s="250"/>
      <c r="M77" s="250"/>
    </row>
    <row r="78" spans="1:40" ht="15.75" customHeight="1">
      <c r="A78" s="40" t="s">
        <v>663</v>
      </c>
      <c r="B78" s="339">
        <f>+'NEW...Tables 91-112'!J53+'NEW...Tables 91-112'!K53</f>
        <v>85.021421837146306</v>
      </c>
      <c r="C78" s="339">
        <f>+'NEW...Tables 91-112'!J84+'NEW...Tables 91-112'!K84</f>
        <v>0</v>
      </c>
      <c r="D78" s="339">
        <f>+'NEW...Tables 91-112'!J115+'NEW...Tables 91-112'!K115</f>
        <v>92.347713887328041</v>
      </c>
      <c r="E78" s="339">
        <f>+'NEW...Tables 91-112'!J146+'NEW...Tables 91-112'!K146</f>
        <v>0</v>
      </c>
      <c r="F78" s="339">
        <f>+'NEW...Tables 91-112'!J176+'NEW...Tables 91-112'!K176</f>
        <v>57.927590511860174</v>
      </c>
      <c r="G78" s="339">
        <f>+'NEW...Tables 91-112'!J207+'NEW...Tables 91-112'!K207</f>
        <v>0</v>
      </c>
      <c r="H78" s="334">
        <f>+'NEW...Tables 91-112'!J21+'NEW...Tables 91-112'!K21</f>
        <v>80.929358643020521</v>
      </c>
      <c r="I78" s="250"/>
      <c r="J78" s="250"/>
      <c r="K78" s="250"/>
      <c r="L78" s="250"/>
      <c r="M78" s="250"/>
    </row>
    <row r="79" spans="1:40" ht="15.75" customHeight="1">
      <c r="A79" s="40" t="s">
        <v>664</v>
      </c>
      <c r="B79" s="339">
        <f>+'NEW...Tables 91-112'!J54+'NEW...Tables 91-112'!K54</f>
        <v>80.225691890642409</v>
      </c>
      <c r="C79" s="339">
        <f>+'NEW...Tables 91-112'!J85+'NEW...Tables 91-112'!K85</f>
        <v>0</v>
      </c>
      <c r="D79" s="339">
        <f>+'NEW...Tables 91-112'!J116+'NEW...Tables 91-112'!K116</f>
        <v>98.650616978591245</v>
      </c>
      <c r="E79" s="339">
        <f>+'NEW...Tables 91-112'!J147+'NEW...Tables 91-112'!K147</f>
        <v>98.471165010966331</v>
      </c>
      <c r="F79" s="339">
        <f>+'NEW...Tables 91-112'!J177+'NEW...Tables 91-112'!K177</f>
        <v>87.788607493808428</v>
      </c>
      <c r="G79" s="339">
        <f>+'NEW...Tables 91-112'!J208+'NEW...Tables 91-112'!K208</f>
        <v>66.841027973618381</v>
      </c>
      <c r="H79" s="334">
        <f>+'NEW...Tables 91-112'!J22+'NEW...Tables 91-112'!K22</f>
        <v>84.214924098532038</v>
      </c>
      <c r="I79" s="250"/>
      <c r="J79" s="250"/>
      <c r="K79" s="250"/>
      <c r="L79" s="250"/>
      <c r="M79" s="250"/>
    </row>
    <row r="80" spans="1:40" ht="15.75" customHeight="1">
      <c r="A80" s="40"/>
      <c r="B80" s="339">
        <f>+'NEW...Tables 91-112'!J55+'NEW...Tables 91-112'!K55</f>
        <v>0</v>
      </c>
      <c r="C80" s="339">
        <f>+'NEW...Tables 91-112'!J86+'NEW...Tables 91-112'!K86</f>
        <v>0</v>
      </c>
      <c r="D80" s="339">
        <f>+'NEW...Tables 91-112'!J117+'NEW...Tables 91-112'!K117</f>
        <v>0</v>
      </c>
      <c r="E80" s="339">
        <f>+'NEW...Tables 91-112'!J148+'NEW...Tables 91-112'!K148</f>
        <v>0</v>
      </c>
      <c r="F80" s="339">
        <f>+'NEW...Tables 91-112'!J178+'NEW...Tables 91-112'!K178</f>
        <v>0</v>
      </c>
      <c r="G80" s="339">
        <f>+'NEW...Tables 91-112'!J209+'NEW...Tables 91-112'!K209</f>
        <v>0</v>
      </c>
      <c r="H80" s="334">
        <f>+'NEW...Tables 91-112'!J23+'NEW...Tables 91-112'!K23</f>
        <v>0</v>
      </c>
      <c r="I80" s="250"/>
      <c r="J80" s="250"/>
      <c r="K80" s="250"/>
      <c r="L80" s="250"/>
      <c r="M80" s="250"/>
    </row>
    <row r="81" spans="1:40" ht="15.75" customHeight="1">
      <c r="A81" s="40" t="s">
        <v>665</v>
      </c>
      <c r="B81" s="339">
        <f>+'NEW...Tables 91-112'!J56+'NEW...Tables 91-112'!K56</f>
        <v>82.691747139190042</v>
      </c>
      <c r="C81" s="339">
        <f>+'NEW...Tables 91-112'!J87+'NEW...Tables 91-112'!K87</f>
        <v>0</v>
      </c>
      <c r="D81" s="339">
        <f>+'NEW...Tables 91-112'!J118+'NEW...Tables 91-112'!K118</f>
        <v>74.115733033532962</v>
      </c>
      <c r="E81" s="339">
        <f>+'NEW...Tables 91-112'!J149+'NEW...Tables 91-112'!K149</f>
        <v>0</v>
      </c>
      <c r="F81" s="339">
        <f>+'NEW...Tables 91-112'!J179+'NEW...Tables 91-112'!K179</f>
        <v>41.63295880149812</v>
      </c>
      <c r="G81" s="339">
        <f>+'NEW...Tables 91-112'!J210+'NEW...Tables 91-112'!K210</f>
        <v>0</v>
      </c>
      <c r="H81" s="334">
        <f>+'NEW...Tables 91-112'!J24+'NEW...Tables 91-112'!K24</f>
        <v>78.090403052506375</v>
      </c>
      <c r="I81" s="250"/>
      <c r="J81" s="250"/>
      <c r="K81" s="250"/>
      <c r="L81" s="250"/>
      <c r="M81" s="250"/>
    </row>
    <row r="82" spans="1:40" s="59" customFormat="1">
      <c r="A82" s="40" t="s">
        <v>666</v>
      </c>
      <c r="B82" s="339">
        <f>+'NEW...Tables 91-112'!J57+'NEW...Tables 91-112'!K57</f>
        <v>89.119132093571608</v>
      </c>
      <c r="C82" s="339">
        <f>+'NEW...Tables 91-112'!J88+'NEW...Tables 91-112'!K88</f>
        <v>72.146333593266817</v>
      </c>
      <c r="D82" s="339">
        <f>+'NEW...Tables 91-112'!J119+'NEW...Tables 91-112'!K119</f>
        <v>66.105452122234169</v>
      </c>
      <c r="E82" s="339">
        <f>+'NEW...Tables 91-112'!J150+'NEW...Tables 91-112'!K150</f>
        <v>41.030339185273561</v>
      </c>
      <c r="F82" s="339">
        <f>+'NEW...Tables 91-112'!J180+'NEW...Tables 91-112'!K180</f>
        <v>70.986666666666665</v>
      </c>
      <c r="G82" s="339">
        <f>+'NEW...Tables 91-112'!J211+'NEW...Tables 91-112'!K211</f>
        <v>93.674698795180717</v>
      </c>
      <c r="H82" s="334">
        <f>+'NEW...Tables 91-112'!J25+'NEW...Tables 91-112'!K25</f>
        <v>78.596047737547877</v>
      </c>
      <c r="I82" s="250"/>
      <c r="J82" s="250"/>
      <c r="K82" s="250"/>
      <c r="L82" s="250"/>
      <c r="M82" s="250"/>
      <c r="N82" s="237"/>
      <c r="O82" s="237"/>
      <c r="P82" s="243"/>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row>
    <row r="83" spans="1:40" s="59" customFormat="1" ht="27.75" customHeight="1">
      <c r="A83" s="40" t="s">
        <v>667</v>
      </c>
      <c r="B83" s="339">
        <f>+'NEW...Tables 91-112'!J58+'NEW...Tables 91-112'!K58</f>
        <v>90.682577684212049</v>
      </c>
      <c r="C83" s="339">
        <f>+'NEW...Tables 91-112'!J89+'NEW...Tables 91-112'!K89</f>
        <v>95.987808920022829</v>
      </c>
      <c r="D83" s="339">
        <f>+'NEW...Tables 91-112'!J120+'NEW...Tables 91-112'!K120</f>
        <v>90.779017808008106</v>
      </c>
      <c r="E83" s="339">
        <f>+'NEW...Tables 91-112'!J151+'NEW...Tables 91-112'!K151</f>
        <v>93.639594716460664</v>
      </c>
      <c r="F83" s="339">
        <f>+'NEW...Tables 91-112'!J181+'NEW...Tables 91-112'!K181</f>
        <v>88.807059447983008</v>
      </c>
      <c r="G83" s="339">
        <f>+'NEW...Tables 91-112'!J212+'NEW...Tables 91-112'!K212</f>
        <v>0</v>
      </c>
      <c r="H83" s="334">
        <f>+'NEW...Tables 91-112'!J26+'NEW...Tables 91-112'!K26</f>
        <v>91.970345509997557</v>
      </c>
      <c r="I83" s="250"/>
      <c r="J83" s="250"/>
      <c r="K83" s="250"/>
      <c r="L83" s="250"/>
      <c r="M83" s="250"/>
      <c r="N83" s="237"/>
      <c r="O83" s="237"/>
      <c r="P83" s="243"/>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row>
    <row r="84" spans="1:40" s="59" customFormat="1">
      <c r="A84" s="57" t="s">
        <v>668</v>
      </c>
      <c r="B84" s="335">
        <f>+'NEW...Tables 91-112'!J59+'NEW...Tables 91-112'!K59</f>
        <v>75.667856538807328</v>
      </c>
      <c r="C84" s="335">
        <f>+'NEW...Tables 91-112'!J90+'NEW...Tables 91-112'!K90</f>
        <v>0</v>
      </c>
      <c r="D84" s="335">
        <f>+'NEW...Tables 91-112'!J121+'NEW...Tables 91-112'!K121</f>
        <v>77.68926452076964</v>
      </c>
      <c r="E84" s="335">
        <f>+'NEW...Tables 91-112'!J152+'NEW...Tables 91-112'!K152</f>
        <v>0</v>
      </c>
      <c r="F84" s="335">
        <f>+'NEW...Tables 91-112'!J182+'NEW...Tables 91-112'!K182</f>
        <v>51.475562813484203</v>
      </c>
      <c r="G84" s="335">
        <f>+'NEW...Tables 91-112'!J213+'NEW...Tables 91-112'!K213</f>
        <v>49.94766589909986</v>
      </c>
      <c r="H84" s="336">
        <f>+'NEW...Tables 91-112'!J27+'NEW...Tables 91-112'!K27</f>
        <v>74.466207383464706</v>
      </c>
      <c r="I84" s="250"/>
      <c r="J84" s="250"/>
      <c r="K84" s="250"/>
      <c r="L84" s="250"/>
      <c r="M84" s="250"/>
      <c r="N84" s="237"/>
      <c r="O84" s="237"/>
      <c r="P84" s="243"/>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row>
    <row r="85" spans="1:40">
      <c r="A85" s="59"/>
      <c r="B85" s="59"/>
      <c r="C85" s="59"/>
      <c r="D85" s="59"/>
      <c r="E85" s="59"/>
      <c r="F85" s="59"/>
      <c r="G85" s="59"/>
      <c r="H85" s="60"/>
      <c r="I85" s="59"/>
      <c r="J85" s="61"/>
      <c r="K85" s="59"/>
      <c r="L85" s="59"/>
      <c r="M85" s="61"/>
      <c r="N85" s="59"/>
      <c r="O85" s="59"/>
      <c r="P85" s="60"/>
      <c r="Q85" s="59"/>
      <c r="R85" s="59"/>
      <c r="S85" s="59"/>
      <c r="T85" s="59"/>
      <c r="U85" s="59"/>
      <c r="V85" s="59"/>
      <c r="W85" s="59"/>
      <c r="X85" s="59"/>
      <c r="Y85" s="59"/>
      <c r="Z85" s="59"/>
      <c r="AA85" s="59"/>
      <c r="AB85" s="59"/>
      <c r="AC85" s="59"/>
      <c r="AD85" s="59"/>
      <c r="AE85" s="59"/>
      <c r="AF85" s="59"/>
      <c r="AG85" s="59"/>
      <c r="AH85" s="59"/>
      <c r="AI85" s="59"/>
      <c r="AJ85" s="59"/>
      <c r="AK85" s="59"/>
      <c r="AL85" s="59"/>
      <c r="AM85" s="59"/>
      <c r="AN85" s="59"/>
    </row>
    <row r="86" spans="1:40" s="40" customFormat="1">
      <c r="A86" s="80" t="s">
        <v>679</v>
      </c>
      <c r="B86" s="251"/>
      <c r="C86" s="251"/>
      <c r="D86" s="251"/>
      <c r="E86" s="251"/>
      <c r="F86" s="251"/>
      <c r="G86" s="251"/>
      <c r="H86" s="251"/>
      <c r="I86" s="59"/>
      <c r="J86" s="59"/>
      <c r="K86" s="59"/>
      <c r="L86" s="59"/>
      <c r="M86" s="61"/>
      <c r="N86" s="59"/>
      <c r="O86" s="59"/>
      <c r="P86" s="60"/>
      <c r="Q86" s="59"/>
      <c r="R86" s="59"/>
      <c r="S86" s="59"/>
      <c r="T86" s="59"/>
      <c r="U86" s="59"/>
      <c r="V86" s="59"/>
      <c r="W86" s="59"/>
      <c r="X86" s="59"/>
      <c r="Y86" s="59"/>
      <c r="Z86" s="59"/>
      <c r="AA86" s="59"/>
      <c r="AB86" s="59"/>
      <c r="AC86" s="59"/>
      <c r="AD86" s="59"/>
      <c r="AE86" s="59"/>
      <c r="AF86" s="59"/>
      <c r="AG86" s="59"/>
      <c r="AH86" s="59"/>
      <c r="AI86" s="59"/>
      <c r="AJ86" s="59"/>
      <c r="AK86" s="59"/>
      <c r="AL86" s="59"/>
      <c r="AM86" s="59"/>
      <c r="AN86" s="59"/>
    </row>
    <row r="87" spans="1:40">
      <c r="A87" s="59"/>
      <c r="B87" s="59"/>
      <c r="C87" s="59"/>
      <c r="D87" s="59"/>
      <c r="E87" s="59"/>
      <c r="F87" s="59"/>
      <c r="G87" s="59"/>
      <c r="H87" s="64" t="s">
        <v>1034</v>
      </c>
      <c r="I87" s="59"/>
      <c r="J87" s="59"/>
      <c r="K87" s="59"/>
      <c r="L87" s="59"/>
      <c r="M87" s="61"/>
      <c r="N87" s="59"/>
      <c r="O87" s="59"/>
      <c r="P87" s="60"/>
      <c r="Q87" s="59"/>
      <c r="R87" s="59"/>
      <c r="S87" s="59"/>
      <c r="T87" s="59"/>
      <c r="U87" s="59"/>
      <c r="V87" s="59"/>
      <c r="W87" s="59"/>
      <c r="X87" s="59"/>
      <c r="Y87" s="59"/>
      <c r="Z87" s="59"/>
      <c r="AA87" s="59"/>
      <c r="AB87" s="59"/>
      <c r="AC87" s="59"/>
      <c r="AD87" s="59"/>
      <c r="AE87" s="59"/>
      <c r="AF87" s="59"/>
      <c r="AG87" s="59"/>
      <c r="AH87" s="59"/>
      <c r="AI87" s="59"/>
      <c r="AJ87" s="59"/>
      <c r="AK87" s="59"/>
      <c r="AL87" s="59"/>
      <c r="AM87" s="59"/>
      <c r="AN87" s="59"/>
    </row>
    <row r="88" spans="1:40" ht="18">
      <c r="A88" s="31" t="s">
        <v>680</v>
      </c>
      <c r="B88" s="32"/>
      <c r="C88" s="32"/>
      <c r="D88" s="32"/>
      <c r="E88" s="32"/>
      <c r="F88" s="32"/>
      <c r="G88" s="234"/>
      <c r="H88" s="235"/>
      <c r="I88" s="248" t="s">
        <v>59</v>
      </c>
      <c r="J88" s="248"/>
      <c r="K88" s="248"/>
      <c r="L88" s="248"/>
      <c r="M88" s="249"/>
    </row>
    <row r="89" spans="1:40">
      <c r="A89" s="37"/>
      <c r="B89" s="36"/>
      <c r="C89" s="36"/>
      <c r="D89" s="36"/>
      <c r="E89" s="36"/>
      <c r="F89" s="36"/>
      <c r="G89" s="36"/>
      <c r="H89" s="38"/>
      <c r="I89" s="75"/>
      <c r="J89" s="75"/>
      <c r="K89" s="75"/>
      <c r="L89" s="75"/>
      <c r="M89" s="76"/>
      <c r="N89" s="40"/>
      <c r="O89" s="40"/>
      <c r="P89" s="65"/>
      <c r="Q89" s="40"/>
      <c r="R89" s="40"/>
      <c r="S89" s="40"/>
      <c r="T89" s="40"/>
      <c r="U89" s="40"/>
      <c r="V89" s="40"/>
      <c r="W89" s="40"/>
      <c r="X89" s="40"/>
      <c r="Y89" s="40"/>
      <c r="Z89" s="40"/>
      <c r="AA89" s="40"/>
      <c r="AB89" s="40"/>
      <c r="AC89" s="40"/>
      <c r="AD89" s="40"/>
      <c r="AE89" s="40"/>
      <c r="AF89" s="40"/>
      <c r="AG89" s="40"/>
      <c r="AH89" s="40"/>
      <c r="AI89" s="40"/>
      <c r="AJ89" s="40"/>
      <c r="AK89" s="40"/>
      <c r="AL89" s="40"/>
      <c r="AM89" s="40"/>
      <c r="AN89" s="40"/>
    </row>
    <row r="90" spans="1:40" s="56" customFormat="1" ht="18">
      <c r="A90" s="238" t="s">
        <v>681</v>
      </c>
      <c r="B90" s="32"/>
      <c r="C90" s="32"/>
      <c r="D90" s="32"/>
      <c r="E90" s="32"/>
      <c r="F90" s="32"/>
      <c r="G90" s="234"/>
      <c r="H90" s="235"/>
      <c r="I90" s="248" t="s">
        <v>59</v>
      </c>
      <c r="J90" s="248"/>
      <c r="K90" s="248"/>
      <c r="L90" s="248"/>
      <c r="M90" s="249"/>
      <c r="N90" s="237"/>
      <c r="O90" s="237"/>
      <c r="P90" s="243"/>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row>
    <row r="91" spans="1:40" s="56" customFormat="1" ht="15.75">
      <c r="A91" s="238" t="s">
        <v>1007</v>
      </c>
      <c r="B91" s="36"/>
      <c r="C91" s="36"/>
      <c r="D91" s="36"/>
      <c r="E91" s="36"/>
      <c r="F91" s="36"/>
      <c r="G91" s="234"/>
      <c r="H91" s="235"/>
      <c r="I91" s="248" t="s">
        <v>59</v>
      </c>
      <c r="J91" s="248"/>
      <c r="K91" s="248"/>
      <c r="L91" s="248"/>
      <c r="M91" s="249"/>
      <c r="N91" s="237"/>
      <c r="O91" s="237"/>
      <c r="P91" s="243"/>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row>
    <row r="92" spans="1:40" ht="11.25" customHeight="1">
      <c r="A92" s="252"/>
      <c r="B92" s="75"/>
      <c r="C92" s="75"/>
      <c r="D92" s="75"/>
      <c r="E92" s="75"/>
      <c r="F92" s="75"/>
      <c r="G92" s="248"/>
      <c r="H92" s="253"/>
      <c r="I92" s="248"/>
      <c r="J92" s="248"/>
      <c r="K92" s="248"/>
      <c r="L92" s="248"/>
      <c r="M92" s="249"/>
    </row>
    <row r="93" spans="1:40" ht="15.75" customHeight="1">
      <c r="A93" s="324"/>
      <c r="B93" s="323" t="s">
        <v>565</v>
      </c>
      <c r="C93" s="323"/>
      <c r="D93" s="323"/>
      <c r="E93" s="323"/>
      <c r="F93" s="323"/>
      <c r="G93" s="323"/>
      <c r="H93" s="323"/>
      <c r="I93" s="69"/>
      <c r="J93" s="69"/>
      <c r="K93" s="69"/>
      <c r="L93" s="69"/>
      <c r="M93" s="69"/>
      <c r="N93" s="69"/>
      <c r="O93" s="56"/>
      <c r="P93" s="78"/>
      <c r="Q93" s="56"/>
      <c r="R93" s="56"/>
      <c r="S93" s="56"/>
      <c r="T93" s="56"/>
      <c r="U93" s="56"/>
      <c r="V93" s="56"/>
      <c r="W93" s="56"/>
      <c r="X93" s="56"/>
      <c r="Y93" s="56"/>
      <c r="Z93" s="56"/>
      <c r="AA93" s="56"/>
      <c r="AB93" s="56"/>
      <c r="AC93" s="56"/>
      <c r="AD93" s="56"/>
      <c r="AE93" s="56"/>
      <c r="AF93" s="56"/>
      <c r="AG93" s="56"/>
      <c r="AH93" s="56"/>
      <c r="AI93" s="56"/>
      <c r="AJ93" s="56"/>
      <c r="AK93" s="56"/>
      <c r="AL93" s="56"/>
      <c r="AM93" s="56"/>
      <c r="AN93" s="56"/>
    </row>
    <row r="94" spans="1:40" ht="15.75" customHeight="1">
      <c r="A94" s="324"/>
      <c r="B94" s="325">
        <v>1</v>
      </c>
      <c r="C94" s="325">
        <v>2</v>
      </c>
      <c r="D94" s="325">
        <v>3</v>
      </c>
      <c r="E94" s="325">
        <v>4</v>
      </c>
      <c r="F94" s="325">
        <v>5</v>
      </c>
      <c r="G94" s="325">
        <v>6</v>
      </c>
      <c r="H94" s="320" t="s">
        <v>651</v>
      </c>
      <c r="I94" s="69"/>
      <c r="J94" s="69"/>
      <c r="K94" s="69"/>
      <c r="L94" s="69"/>
      <c r="M94" s="69"/>
      <c r="N94" s="69"/>
      <c r="O94" s="56"/>
      <c r="P94" s="78"/>
      <c r="Q94" s="56"/>
      <c r="R94" s="56"/>
      <c r="S94" s="56"/>
      <c r="T94" s="56"/>
      <c r="U94" s="56"/>
      <c r="V94" s="56"/>
      <c r="W94" s="56"/>
      <c r="X94" s="56"/>
      <c r="Y94" s="56"/>
      <c r="Z94" s="56"/>
      <c r="AA94" s="56"/>
      <c r="AB94" s="56"/>
      <c r="AC94" s="56"/>
      <c r="AD94" s="56"/>
      <c r="AE94" s="56"/>
      <c r="AF94" s="56"/>
      <c r="AG94" s="56"/>
      <c r="AH94" s="56"/>
      <c r="AI94" s="56"/>
      <c r="AJ94" s="56"/>
      <c r="AK94" s="56"/>
      <c r="AL94" s="56"/>
      <c r="AM94" s="56"/>
      <c r="AN94" s="56"/>
    </row>
    <row r="95" spans="1:40" ht="15.75" customHeight="1">
      <c r="A95" s="40" t="s">
        <v>653</v>
      </c>
      <c r="B95" s="207">
        <f>+'NEW...Tables 91-112'!L41</f>
        <v>10.921617683913636</v>
      </c>
      <c r="C95" s="207">
        <f>+'NEW...Tables 91-112'!L72</f>
        <v>16.308309037900869</v>
      </c>
      <c r="D95" s="207">
        <f>+'NEW...Tables 91-112'!L103</f>
        <v>30.062970503290565</v>
      </c>
      <c r="E95" s="207">
        <f>+'NEW...Tables 91-112'!L134</f>
        <v>22.298438803965073</v>
      </c>
      <c r="F95" s="207">
        <f>+'NEW...Tables 91-112'!L164</f>
        <v>74.137663010622674</v>
      </c>
      <c r="G95" s="207">
        <f>+'NEW...Tables 91-112'!L195</f>
        <v>0</v>
      </c>
      <c r="H95" s="199">
        <f>+'NEW...Tables 91-112'!L9</f>
        <v>24.450217444957914</v>
      </c>
      <c r="I95" s="250"/>
      <c r="J95" s="250"/>
      <c r="K95" s="250"/>
      <c r="L95" s="250"/>
      <c r="M95" s="250"/>
      <c r="N95" s="242"/>
    </row>
    <row r="96" spans="1:40" ht="15.75" customHeight="1">
      <c r="A96" s="40" t="s">
        <v>654</v>
      </c>
      <c r="B96" s="208">
        <f>+'NEW...Tables 91-112'!L42</f>
        <v>19.934113039796781</v>
      </c>
      <c r="C96" s="208">
        <f>+'NEW...Tables 91-112'!L73</f>
        <v>0</v>
      </c>
      <c r="D96" s="208">
        <f>+'NEW...Tables 91-112'!L104</f>
        <v>42.263503189268967</v>
      </c>
      <c r="E96" s="208">
        <f>+'NEW...Tables 91-112'!L135</f>
        <v>26.145976785362972</v>
      </c>
      <c r="F96" s="208">
        <f>+'NEW...Tables 91-112'!L165</f>
        <v>60.024461379245466</v>
      </c>
      <c r="G96" s="208">
        <f>+'NEW...Tables 91-112'!L196</f>
        <v>19.559099437148216</v>
      </c>
      <c r="H96" s="200">
        <f>+'NEW...Tables 91-112'!L10</f>
        <v>35.119668995786249</v>
      </c>
      <c r="I96" s="250"/>
      <c r="J96" s="250"/>
      <c r="K96" s="250"/>
      <c r="L96" s="250"/>
      <c r="M96" s="250"/>
      <c r="N96" s="242"/>
    </row>
    <row r="97" spans="1:40" ht="15.75" customHeight="1">
      <c r="A97" s="40" t="s">
        <v>655</v>
      </c>
      <c r="B97" s="208">
        <f>+'NEW...Tables 91-112'!L43</f>
        <v>0</v>
      </c>
      <c r="C97" s="208">
        <f>+'NEW...Tables 91-112'!L74</f>
        <v>0</v>
      </c>
      <c r="D97" s="208">
        <f>+'NEW...Tables 91-112'!L105</f>
        <v>0</v>
      </c>
      <c r="E97" s="208">
        <f>+'NEW...Tables 91-112'!L136</f>
        <v>0</v>
      </c>
      <c r="F97" s="208">
        <f>+'NEW...Tables 91-112'!L166</f>
        <v>0</v>
      </c>
      <c r="G97" s="208">
        <f>+'NEW...Tables 91-112'!L197</f>
        <v>0</v>
      </c>
      <c r="H97" s="200">
        <f>+'NEW...Tables 91-112'!L11</f>
        <v>0</v>
      </c>
      <c r="I97" s="250"/>
      <c r="J97" s="250"/>
      <c r="K97" s="250"/>
      <c r="L97" s="250"/>
      <c r="M97" s="250"/>
      <c r="N97" s="242"/>
    </row>
    <row r="98" spans="1:40" ht="15.75" customHeight="1">
      <c r="A98" s="40" t="s">
        <v>671</v>
      </c>
      <c r="B98" s="208">
        <f>+'NEW...Tables 91-112'!L44</f>
        <v>22.332167240147278</v>
      </c>
      <c r="C98" s="208">
        <f>+'NEW...Tables 91-112'!L75</f>
        <v>24.324725621450401</v>
      </c>
      <c r="D98" s="208">
        <f>+'NEW...Tables 91-112'!L106</f>
        <v>22.969660895292449</v>
      </c>
      <c r="E98" s="208">
        <f>+'NEW...Tables 91-112'!L137</f>
        <v>42.150510839770746</v>
      </c>
      <c r="F98" s="208">
        <f>+'NEW...Tables 91-112'!L167</f>
        <v>0</v>
      </c>
      <c r="G98" s="208">
        <f>+'NEW...Tables 91-112'!L198</f>
        <v>0</v>
      </c>
      <c r="H98" s="200">
        <f>+'NEW...Tables 91-112'!L12</f>
        <v>22.894480866106242</v>
      </c>
      <c r="I98" s="250"/>
      <c r="J98" s="250"/>
      <c r="K98" s="250"/>
      <c r="L98" s="250"/>
      <c r="M98" s="250"/>
      <c r="N98" s="242"/>
    </row>
    <row r="99" spans="1:40" ht="15.75" customHeight="1">
      <c r="A99" s="40"/>
      <c r="B99" s="208">
        <f>+'NEW...Tables 91-112'!L45</f>
        <v>0</v>
      </c>
      <c r="C99" s="208">
        <f>+'NEW...Tables 91-112'!L76</f>
        <v>0</v>
      </c>
      <c r="D99" s="208">
        <f>+'NEW...Tables 91-112'!L107</f>
        <v>0</v>
      </c>
      <c r="E99" s="208">
        <f>+'NEW...Tables 91-112'!L138</f>
        <v>0</v>
      </c>
      <c r="F99" s="208">
        <f>+'NEW...Tables 91-112'!L168</f>
        <v>0</v>
      </c>
      <c r="G99" s="208">
        <f>+'NEW...Tables 91-112'!L199</f>
        <v>0</v>
      </c>
      <c r="H99" s="200">
        <f>+'NEW...Tables 91-112'!L13</f>
        <v>0</v>
      </c>
      <c r="I99" s="250"/>
      <c r="J99" s="250"/>
      <c r="K99" s="250"/>
      <c r="L99" s="250"/>
      <c r="M99" s="250"/>
      <c r="N99" s="242"/>
    </row>
    <row r="100" spans="1:40" ht="15.75" customHeight="1">
      <c r="A100" s="40" t="s">
        <v>657</v>
      </c>
      <c r="B100" s="208">
        <f>+'NEW...Tables 91-112'!L46</f>
        <v>0</v>
      </c>
      <c r="C100" s="208">
        <f>+'NEW...Tables 91-112'!L77</f>
        <v>0</v>
      </c>
      <c r="D100" s="208">
        <f>+'NEW...Tables 91-112'!L108</f>
        <v>0</v>
      </c>
      <c r="E100" s="208">
        <f>+'NEW...Tables 91-112'!L139</f>
        <v>0</v>
      </c>
      <c r="F100" s="208">
        <f>+'NEW...Tables 91-112'!L169</f>
        <v>0</v>
      </c>
      <c r="G100" s="208">
        <f>+'NEW...Tables 91-112'!L200</f>
        <v>0</v>
      </c>
      <c r="H100" s="200">
        <f>+'NEW...Tables 91-112'!L14</f>
        <v>0</v>
      </c>
      <c r="I100" s="250"/>
      <c r="J100" s="250"/>
      <c r="K100" s="250"/>
      <c r="L100" s="250"/>
      <c r="M100" s="250"/>
      <c r="N100" s="242"/>
    </row>
    <row r="101" spans="1:40" ht="15.75" customHeight="1">
      <c r="A101" s="40" t="s">
        <v>658</v>
      </c>
      <c r="B101" s="208">
        <f>+'NEW...Tables 91-112'!L47</f>
        <v>7.8933760468166687</v>
      </c>
      <c r="C101" s="208">
        <f>+'NEW...Tables 91-112'!L78</f>
        <v>0</v>
      </c>
      <c r="D101" s="208">
        <f>+'NEW...Tables 91-112'!L109</f>
        <v>46.654200614398292</v>
      </c>
      <c r="E101" s="208">
        <f>+'NEW...Tables 91-112'!L140</f>
        <v>21.888610428477577</v>
      </c>
      <c r="F101" s="208">
        <f>+'NEW...Tables 91-112'!L170</f>
        <v>0</v>
      </c>
      <c r="G101" s="208">
        <f>+'NEW...Tables 91-112'!L201</f>
        <v>0</v>
      </c>
      <c r="H101" s="200">
        <f>+'NEW...Tables 91-112'!L15</f>
        <v>24.741706784440627</v>
      </c>
      <c r="I101" s="250"/>
      <c r="J101" s="250"/>
      <c r="K101" s="250"/>
      <c r="L101" s="250"/>
      <c r="M101" s="250"/>
      <c r="N101" s="242"/>
    </row>
    <row r="102" spans="1:40" ht="15.75" customHeight="1">
      <c r="A102" s="40" t="s">
        <v>659</v>
      </c>
      <c r="B102" s="208">
        <f>+'NEW...Tables 91-112'!L48</f>
        <v>0</v>
      </c>
      <c r="C102" s="208">
        <f>+'NEW...Tables 91-112'!L79</f>
        <v>0</v>
      </c>
      <c r="D102" s="208">
        <f>+'NEW...Tables 91-112'!L110</f>
        <v>0</v>
      </c>
      <c r="E102" s="208">
        <f>+'NEW...Tables 91-112'!L141</f>
        <v>0</v>
      </c>
      <c r="F102" s="208">
        <f>+'NEW...Tables 91-112'!L171</f>
        <v>0</v>
      </c>
      <c r="G102" s="208">
        <f>+'NEW...Tables 91-112'!L202</f>
        <v>0</v>
      </c>
      <c r="H102" s="200">
        <f>+'NEW...Tables 91-112'!L16</f>
        <v>0</v>
      </c>
      <c r="I102" s="250"/>
      <c r="J102" s="250"/>
      <c r="K102" s="250"/>
      <c r="L102" s="250"/>
      <c r="M102" s="250"/>
      <c r="N102" s="242"/>
    </row>
    <row r="103" spans="1:40" ht="15.75" customHeight="1">
      <c r="A103" s="40" t="s">
        <v>672</v>
      </c>
      <c r="B103" s="208">
        <f>+'NEW...Tables 91-112'!L49</f>
        <v>4.0774348507932254</v>
      </c>
      <c r="C103" s="208">
        <f>+'NEW...Tables 91-112'!L80</f>
        <v>16.963226571767496</v>
      </c>
      <c r="D103" s="208">
        <f>+'NEW...Tables 91-112'!L111</f>
        <v>8.9551453616450427</v>
      </c>
      <c r="E103" s="208">
        <f>+'NEW...Tables 91-112'!L142</f>
        <v>51.044136850352572</v>
      </c>
      <c r="F103" s="208">
        <f>+'NEW...Tables 91-112'!L172</f>
        <v>0</v>
      </c>
      <c r="G103" s="208">
        <f>+'NEW...Tables 91-112'!L203</f>
        <v>0</v>
      </c>
      <c r="H103" s="200">
        <f>+'NEW...Tables 91-112'!L17</f>
        <v>45.776996979127794</v>
      </c>
      <c r="I103" s="250"/>
      <c r="J103" s="250"/>
      <c r="K103" s="250"/>
      <c r="L103" s="250"/>
      <c r="M103" s="250"/>
      <c r="N103" s="242"/>
    </row>
    <row r="104" spans="1:40" ht="15.75" customHeight="1">
      <c r="A104" s="40"/>
      <c r="B104" s="208">
        <f>+'NEW...Tables 91-112'!L50</f>
        <v>0</v>
      </c>
      <c r="C104" s="208">
        <f>+'NEW...Tables 91-112'!L81</f>
        <v>0</v>
      </c>
      <c r="D104" s="208">
        <f>+'NEW...Tables 91-112'!L112</f>
        <v>0</v>
      </c>
      <c r="E104" s="208">
        <f>+'NEW...Tables 91-112'!L143</f>
        <v>0</v>
      </c>
      <c r="F104" s="208">
        <f>+'NEW...Tables 91-112'!L173</f>
        <v>0</v>
      </c>
      <c r="G104" s="208">
        <f>+'NEW...Tables 91-112'!L204</f>
        <v>0</v>
      </c>
      <c r="H104" s="200">
        <f>+'NEW...Tables 91-112'!L18</f>
        <v>0</v>
      </c>
      <c r="I104" s="250"/>
      <c r="J104" s="250"/>
      <c r="K104" s="250"/>
      <c r="L104" s="250"/>
      <c r="M104" s="250"/>
      <c r="N104" s="242"/>
    </row>
    <row r="105" spans="1:40" ht="15.75" customHeight="1">
      <c r="A105" s="40" t="s">
        <v>661</v>
      </c>
      <c r="B105" s="208">
        <f>+'NEW...Tables 91-112'!L51</f>
        <v>24.290721566415538</v>
      </c>
      <c r="C105" s="208">
        <f>+'NEW...Tables 91-112'!L82</f>
        <v>3.967525993448227</v>
      </c>
      <c r="D105" s="208">
        <f>+'NEW...Tables 91-112'!L113</f>
        <v>0</v>
      </c>
      <c r="E105" s="208">
        <f>+'NEW...Tables 91-112'!L144</f>
        <v>39.464891673192376</v>
      </c>
      <c r="F105" s="208">
        <f>+'NEW...Tables 91-112'!L174</f>
        <v>27.527216174183515</v>
      </c>
      <c r="G105" s="208">
        <f>+'NEW...Tables 91-112'!L205</f>
        <v>0</v>
      </c>
      <c r="H105" s="200">
        <f>+'NEW...Tables 91-112'!L19</f>
        <v>19.627098479062816</v>
      </c>
      <c r="I105" s="250"/>
      <c r="J105" s="250"/>
      <c r="K105" s="250"/>
      <c r="L105" s="250"/>
      <c r="M105" s="250"/>
      <c r="N105" s="242"/>
    </row>
    <row r="106" spans="1:40" ht="15.75" customHeight="1">
      <c r="A106" s="40" t="s">
        <v>662</v>
      </c>
      <c r="B106" s="208">
        <f>+'NEW...Tables 91-112'!L52</f>
        <v>9.7451676288251523</v>
      </c>
      <c r="C106" s="208">
        <f>+'NEW...Tables 91-112'!L83</f>
        <v>15.872830383227356</v>
      </c>
      <c r="D106" s="208">
        <f>+'NEW...Tables 91-112'!L114</f>
        <v>28.825206678263367</v>
      </c>
      <c r="E106" s="208">
        <f>+'NEW...Tables 91-112'!L145</f>
        <v>24.26354133671207</v>
      </c>
      <c r="F106" s="208">
        <f>+'NEW...Tables 91-112'!L175</f>
        <v>29.918632291095268</v>
      </c>
      <c r="G106" s="208">
        <f>+'NEW...Tables 91-112'!L206</f>
        <v>24.028966425279787</v>
      </c>
      <c r="H106" s="200">
        <f>+'NEW...Tables 91-112'!L20</f>
        <v>18.418000257190183</v>
      </c>
      <c r="I106" s="250"/>
      <c r="J106" s="250"/>
      <c r="K106" s="250"/>
      <c r="L106" s="250"/>
      <c r="M106" s="250"/>
      <c r="N106" s="242"/>
    </row>
    <row r="107" spans="1:40" ht="15.75" customHeight="1">
      <c r="A107" s="40" t="s">
        <v>663</v>
      </c>
      <c r="B107" s="208">
        <f>+'NEW...Tables 91-112'!L53</f>
        <v>14.776293962502834</v>
      </c>
      <c r="C107" s="208">
        <f>+'NEW...Tables 91-112'!L84</f>
        <v>0</v>
      </c>
      <c r="D107" s="208">
        <f>+'NEW...Tables 91-112'!L115</f>
        <v>7.6522861126719519</v>
      </c>
      <c r="E107" s="208">
        <f>+'NEW...Tables 91-112'!L146</f>
        <v>0</v>
      </c>
      <c r="F107" s="208">
        <f>+'NEW...Tables 91-112'!L176</f>
        <v>42.072409488139826</v>
      </c>
      <c r="G107" s="208">
        <f>+'NEW...Tables 91-112'!L207</f>
        <v>0</v>
      </c>
      <c r="H107" s="200">
        <f>+'NEW...Tables 91-112'!L21</f>
        <v>18.944761310637794</v>
      </c>
      <c r="I107" s="250"/>
      <c r="J107" s="250"/>
      <c r="K107" s="250"/>
      <c r="L107" s="250"/>
      <c r="M107" s="250"/>
      <c r="N107" s="242"/>
    </row>
    <row r="108" spans="1:40" ht="15.75" customHeight="1">
      <c r="A108" s="40" t="s">
        <v>664</v>
      </c>
      <c r="B108" s="208">
        <f>+'NEW...Tables 91-112'!L54</f>
        <v>19.774308109357598</v>
      </c>
      <c r="C108" s="208">
        <f>+'NEW...Tables 91-112'!L85</f>
        <v>0</v>
      </c>
      <c r="D108" s="208">
        <f>+'NEW...Tables 91-112'!L116</f>
        <v>1.349383021408745</v>
      </c>
      <c r="E108" s="208">
        <f>+'NEW...Tables 91-112'!L147</f>
        <v>1.5288349890336732</v>
      </c>
      <c r="F108" s="208">
        <f>+'NEW...Tables 91-112'!L177</f>
        <v>12.211392506191579</v>
      </c>
      <c r="G108" s="208">
        <f>+'NEW...Tables 91-112'!L208</f>
        <v>33.158972026381626</v>
      </c>
      <c r="H108" s="200">
        <f>+'NEW...Tables 91-112'!L22</f>
        <v>15.78507590146797</v>
      </c>
      <c r="I108" s="250"/>
      <c r="J108" s="250"/>
      <c r="K108" s="250"/>
      <c r="L108" s="250"/>
      <c r="M108" s="250"/>
      <c r="N108" s="242"/>
    </row>
    <row r="109" spans="1:40" ht="15.75" customHeight="1">
      <c r="A109" s="40"/>
      <c r="B109" s="208">
        <f>+'NEW...Tables 91-112'!L55</f>
        <v>0</v>
      </c>
      <c r="C109" s="208">
        <f>+'NEW...Tables 91-112'!L86</f>
        <v>0</v>
      </c>
      <c r="D109" s="208">
        <f>+'NEW...Tables 91-112'!L117</f>
        <v>0</v>
      </c>
      <c r="E109" s="208">
        <f>+'NEW...Tables 91-112'!L148</f>
        <v>0</v>
      </c>
      <c r="F109" s="208">
        <f>+'NEW...Tables 91-112'!L178</f>
        <v>0</v>
      </c>
      <c r="G109" s="208">
        <f>+'NEW...Tables 91-112'!L209</f>
        <v>0</v>
      </c>
      <c r="H109" s="200">
        <f>+'NEW...Tables 91-112'!L23</f>
        <v>0</v>
      </c>
      <c r="I109" s="250"/>
      <c r="J109" s="250"/>
      <c r="K109" s="250"/>
      <c r="L109" s="250"/>
      <c r="M109" s="250"/>
      <c r="N109" s="242"/>
    </row>
    <row r="110" spans="1:40" ht="15.75" customHeight="1">
      <c r="A110" s="40" t="s">
        <v>665</v>
      </c>
      <c r="B110" s="208">
        <f>+'NEW...Tables 91-112'!L56</f>
        <v>14.504330001598479</v>
      </c>
      <c r="C110" s="208">
        <f>+'NEW...Tables 91-112'!L87</f>
        <v>0</v>
      </c>
      <c r="D110" s="208">
        <f>+'NEW...Tables 91-112'!L118</f>
        <v>19.352258231898471</v>
      </c>
      <c r="E110" s="208">
        <f>+'NEW...Tables 91-112'!L149</f>
        <v>0</v>
      </c>
      <c r="F110" s="208">
        <f>+'NEW...Tables 91-112'!L179</f>
        <v>58.367041198501873</v>
      </c>
      <c r="G110" s="208">
        <f>+'NEW...Tables 91-112'!L210</f>
        <v>0</v>
      </c>
      <c r="H110" s="200">
        <f>+'NEW...Tables 91-112'!L24</f>
        <v>17.446320251045407</v>
      </c>
      <c r="I110" s="250"/>
      <c r="J110" s="250"/>
      <c r="K110" s="250"/>
      <c r="L110" s="250"/>
      <c r="M110" s="250"/>
      <c r="N110" s="242"/>
    </row>
    <row r="111" spans="1:40" s="59" customFormat="1" ht="27.75" customHeight="1">
      <c r="A111" s="40" t="s">
        <v>666</v>
      </c>
      <c r="B111" s="208">
        <f>+'NEW...Tables 91-112'!L57</f>
        <v>10.88086790642838</v>
      </c>
      <c r="C111" s="208">
        <f>+'NEW...Tables 91-112'!L88</f>
        <v>27.853666406733172</v>
      </c>
      <c r="D111" s="208">
        <f>+'NEW...Tables 91-112'!L119</f>
        <v>33.894547877765845</v>
      </c>
      <c r="E111" s="208">
        <f>+'NEW...Tables 91-112'!L150</f>
        <v>58.969660814726431</v>
      </c>
      <c r="F111" s="208">
        <f>+'NEW...Tables 91-112'!L180</f>
        <v>29.013333333333335</v>
      </c>
      <c r="G111" s="208">
        <f>+'NEW...Tables 91-112'!L211</f>
        <v>6.3253012048192776</v>
      </c>
      <c r="H111" s="200">
        <f>+'NEW...Tables 91-112'!L25</f>
        <v>21.40395226245213</v>
      </c>
      <c r="I111" s="250"/>
      <c r="J111" s="250"/>
      <c r="K111" s="250"/>
      <c r="L111" s="250"/>
      <c r="M111" s="250"/>
      <c r="N111" s="242"/>
      <c r="O111" s="237"/>
      <c r="P111" s="243"/>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row>
    <row r="112" spans="1:40" s="59" customFormat="1" ht="15.75" customHeight="1">
      <c r="A112" s="40" t="s">
        <v>667</v>
      </c>
      <c r="B112" s="208">
        <f>+'NEW...Tables 91-112'!L58</f>
        <v>9.317422315787951</v>
      </c>
      <c r="C112" s="208">
        <f>+'NEW...Tables 91-112'!L89</f>
        <v>4.0121910799771729</v>
      </c>
      <c r="D112" s="208">
        <f>+'NEW...Tables 91-112'!L120</f>
        <v>9.2209821919918991</v>
      </c>
      <c r="E112" s="208">
        <f>+'NEW...Tables 91-112'!L151</f>
        <v>6.3604052835393352</v>
      </c>
      <c r="F112" s="208">
        <f>+'NEW...Tables 91-112'!L181</f>
        <v>11.192940552016985</v>
      </c>
      <c r="G112" s="208">
        <f>+'NEW...Tables 91-112'!L212</f>
        <v>0</v>
      </c>
      <c r="H112" s="200">
        <f>+'NEW...Tables 91-112'!L26</f>
        <v>8.0296544900024376</v>
      </c>
      <c r="I112" s="250"/>
      <c r="J112" s="250"/>
      <c r="K112" s="250"/>
      <c r="L112" s="250"/>
      <c r="M112" s="250"/>
      <c r="N112" s="242"/>
      <c r="O112" s="237"/>
      <c r="P112" s="243"/>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row>
    <row r="113" spans="1:40" s="59" customFormat="1" ht="13.5" customHeight="1">
      <c r="A113" s="57" t="s">
        <v>668</v>
      </c>
      <c r="B113" s="188">
        <f>+'NEW...Tables 91-112'!L59</f>
        <v>24.332143461192661</v>
      </c>
      <c r="C113" s="188">
        <f>+'NEW...Tables 91-112'!L90</f>
        <v>0</v>
      </c>
      <c r="D113" s="188">
        <f>+'NEW...Tables 91-112'!L121</f>
        <v>22.310735479230352</v>
      </c>
      <c r="E113" s="188">
        <f>+'NEW...Tables 91-112'!L152</f>
        <v>0</v>
      </c>
      <c r="F113" s="188">
        <f>+'NEW...Tables 91-112'!L182</f>
        <v>48.524437186515804</v>
      </c>
      <c r="G113" s="188">
        <f>+'NEW...Tables 91-112'!L213</f>
        <v>50.05233410090014</v>
      </c>
      <c r="H113" s="201">
        <f>+'NEW...Tables 91-112'!L27</f>
        <v>25.533792616535298</v>
      </c>
      <c r="I113" s="250"/>
      <c r="J113" s="250"/>
      <c r="K113" s="250"/>
      <c r="L113" s="250"/>
      <c r="M113" s="250"/>
      <c r="N113" s="242"/>
      <c r="O113" s="237"/>
      <c r="P113" s="243"/>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row>
    <row r="114" spans="1:40" s="59" customFormat="1" ht="28.5" customHeight="1">
      <c r="A114" s="626" t="s">
        <v>682</v>
      </c>
      <c r="B114" s="627"/>
      <c r="C114" s="627"/>
      <c r="D114" s="627"/>
      <c r="E114" s="627"/>
      <c r="F114" s="627"/>
      <c r="G114" s="627"/>
      <c r="H114" s="627"/>
      <c r="I114" s="84"/>
      <c r="J114" s="84"/>
      <c r="K114" s="84"/>
      <c r="L114" s="84"/>
      <c r="M114" s="84"/>
      <c r="N114" s="61"/>
      <c r="P114" s="60"/>
    </row>
    <row r="115" spans="1:40" ht="16.5" customHeight="1">
      <c r="A115" s="80" t="s">
        <v>675</v>
      </c>
      <c r="B115" s="254"/>
      <c r="C115" s="254"/>
      <c r="D115" s="254"/>
      <c r="E115" s="254"/>
      <c r="F115" s="254"/>
      <c r="G115" s="254"/>
      <c r="H115" s="254"/>
      <c r="I115" s="61"/>
      <c r="J115" s="61"/>
      <c r="K115" s="61"/>
      <c r="L115" s="61"/>
      <c r="M115" s="61"/>
      <c r="N115" s="61"/>
      <c r="O115" s="59"/>
      <c r="P115" s="60"/>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row>
    <row r="116" spans="1:40" ht="9.75" customHeight="1">
      <c r="A116" s="129"/>
      <c r="B116" s="178"/>
      <c r="C116" s="178"/>
      <c r="D116" s="178"/>
      <c r="E116" s="178"/>
      <c r="F116" s="178"/>
      <c r="G116" s="178"/>
      <c r="H116" s="247"/>
      <c r="I116" s="178"/>
      <c r="J116" s="178"/>
      <c r="K116" s="178"/>
      <c r="L116" s="178"/>
      <c r="M116" s="178"/>
      <c r="N116" s="178"/>
      <c r="O116" s="178"/>
      <c r="P116" s="247"/>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row>
    <row r="117" spans="1:40">
      <c r="A117" s="59"/>
      <c r="B117" s="59"/>
      <c r="C117" s="59"/>
      <c r="D117" s="59"/>
      <c r="E117" s="59"/>
      <c r="F117" s="59"/>
      <c r="G117" s="59"/>
      <c r="H117" s="64" t="s">
        <v>1034</v>
      </c>
      <c r="I117" s="61"/>
      <c r="J117" s="61"/>
      <c r="K117" s="61"/>
      <c r="L117" s="61"/>
      <c r="M117" s="61"/>
      <c r="N117" s="61"/>
      <c r="O117" s="59"/>
      <c r="P117" s="60"/>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row>
  </sheetData>
  <mergeCells count="6">
    <mergeCell ref="A114:H114"/>
    <mergeCell ref="B5:H5"/>
    <mergeCell ref="I5:M5"/>
    <mergeCell ref="A29:P29"/>
    <mergeCell ref="A31:P31"/>
    <mergeCell ref="A54:P54"/>
  </mergeCells>
  <pageMargins left="0.7" right="0.7" top="0.75" bottom="0.75" header="0.3" footer="0.3"/>
  <pageSetup firstPageNumber="94" orientation="landscape" useFirstPageNumber="1" r:id="rId1"/>
  <headerFooter>
    <oddHeader>&amp;R&amp;"Arial,Regular"&amp;8SREB-State Data Exchange</oddHeader>
    <oddFooter>&amp;C&amp;P</oddFooter>
  </headerFooter>
  <rowBreaks count="3" manualBreakCount="3">
    <brk id="28" max="15" man="1"/>
    <brk id="57" max="15" man="1"/>
    <brk id="87" max="15" man="1"/>
  </rowBreaks>
</worksheet>
</file>

<file path=xl/worksheets/sheet2.xml><?xml version="1.0" encoding="utf-8"?>
<worksheet xmlns="http://schemas.openxmlformats.org/spreadsheetml/2006/main" xmlns:r="http://schemas.openxmlformats.org/officeDocument/2006/relationships">
  <sheetPr>
    <tabColor theme="5" tint="0.59999389629810485"/>
  </sheetPr>
  <dimension ref="A1:P117"/>
  <sheetViews>
    <sheetView showGridLines="0" showZeros="0" view="pageBreakPreview" zoomScaleNormal="100" zoomScaleSheetLayoutView="100" workbookViewId="0">
      <selection activeCell="D11" sqref="D11"/>
    </sheetView>
  </sheetViews>
  <sheetFormatPr defaultRowHeight="15"/>
  <cols>
    <col min="1" max="1" width="12.7109375" customWidth="1"/>
    <col min="2" max="7" width="7.28515625" customWidth="1"/>
    <col min="8" max="8" width="7.28515625" style="28" customWidth="1"/>
    <col min="9" max="12" width="7.28515625" customWidth="1"/>
    <col min="13" max="13" width="7.28515625" style="27" customWidth="1"/>
    <col min="14" max="15" width="7.28515625" customWidth="1"/>
    <col min="16" max="16" width="7.28515625" style="28" customWidth="1"/>
  </cols>
  <sheetData>
    <row r="1" spans="1:16" ht="18">
      <c r="A1" s="179" t="s">
        <v>650</v>
      </c>
      <c r="B1" s="32"/>
      <c r="C1" s="32"/>
      <c r="D1" s="32"/>
      <c r="E1" s="32"/>
      <c r="F1" s="32"/>
      <c r="G1" s="33"/>
      <c r="H1" s="34"/>
      <c r="I1" s="33"/>
      <c r="J1" s="33"/>
      <c r="K1" s="33"/>
      <c r="L1" s="33"/>
      <c r="M1" s="35"/>
      <c r="N1" s="33"/>
      <c r="O1" s="33"/>
      <c r="P1" s="34"/>
    </row>
    <row r="2" spans="1:16" s="40" customFormat="1" ht="12.75">
      <c r="A2" s="37"/>
      <c r="B2" s="36"/>
      <c r="C2" s="36"/>
      <c r="D2" s="36"/>
      <c r="E2" s="36"/>
      <c r="F2" s="36"/>
      <c r="G2" s="36"/>
      <c r="H2" s="38"/>
      <c r="I2" s="36"/>
      <c r="J2" s="36"/>
      <c r="K2" s="36"/>
      <c r="L2" s="36"/>
      <c r="M2" s="39"/>
      <c r="N2" s="36"/>
      <c r="O2" s="36"/>
      <c r="P2" s="38"/>
    </row>
    <row r="3" spans="1:16" ht="15.75">
      <c r="A3" s="41" t="s">
        <v>1006</v>
      </c>
      <c r="B3" s="36"/>
      <c r="C3" s="36"/>
      <c r="D3" s="36"/>
      <c r="E3" s="36"/>
      <c r="F3" s="36"/>
      <c r="G3" s="33"/>
      <c r="H3" s="34"/>
      <c r="I3" s="33"/>
      <c r="J3" s="33"/>
      <c r="K3" s="33"/>
      <c r="L3" s="33"/>
      <c r="M3" s="35"/>
      <c r="N3" s="33"/>
      <c r="O3" s="33"/>
      <c r="P3" s="34"/>
    </row>
    <row r="4" spans="1:16">
      <c r="A4" s="42"/>
      <c r="B4" s="43"/>
      <c r="C4" s="43"/>
      <c r="D4" s="43"/>
      <c r="E4" s="43"/>
      <c r="F4" s="43"/>
      <c r="G4" s="43"/>
      <c r="H4" s="44"/>
      <c r="I4" s="43"/>
      <c r="J4" s="43"/>
      <c r="K4" s="43"/>
      <c r="L4" s="43"/>
    </row>
    <row r="5" spans="1:16" s="49" customFormat="1" ht="18" customHeight="1">
      <c r="A5" s="45"/>
      <c r="B5" s="637" t="s">
        <v>565</v>
      </c>
      <c r="C5" s="637"/>
      <c r="D5" s="637"/>
      <c r="E5" s="637"/>
      <c r="F5" s="637"/>
      <c r="G5" s="637"/>
      <c r="H5" s="638"/>
      <c r="I5" s="639" t="s">
        <v>566</v>
      </c>
      <c r="J5" s="637"/>
      <c r="K5" s="637"/>
      <c r="L5" s="637"/>
      <c r="M5" s="637"/>
      <c r="N5" s="46" t="s">
        <v>567</v>
      </c>
      <c r="O5" s="47"/>
      <c r="P5" s="48"/>
    </row>
    <row r="6" spans="1:16" s="56" customFormat="1" ht="25.5">
      <c r="A6" s="50"/>
      <c r="B6" s="51">
        <v>1</v>
      </c>
      <c r="C6" s="51">
        <v>2</v>
      </c>
      <c r="D6" s="51">
        <v>3</v>
      </c>
      <c r="E6" s="51">
        <v>4</v>
      </c>
      <c r="F6" s="51">
        <v>5</v>
      </c>
      <c r="G6" s="51">
        <v>6</v>
      </c>
      <c r="H6" s="52" t="s">
        <v>651</v>
      </c>
      <c r="I6" s="53" t="s">
        <v>652</v>
      </c>
      <c r="J6" s="51">
        <v>1</v>
      </c>
      <c r="K6" s="51">
        <v>2</v>
      </c>
      <c r="L6" s="51">
        <v>3</v>
      </c>
      <c r="M6" s="54" t="s">
        <v>651</v>
      </c>
      <c r="N6" s="54">
        <v>1</v>
      </c>
      <c r="O6" s="51">
        <v>2</v>
      </c>
      <c r="P6" s="55" t="s">
        <v>651</v>
      </c>
    </row>
    <row r="7" spans="1:16" ht="15.75" customHeight="1">
      <c r="A7" s="40" t="s">
        <v>653</v>
      </c>
      <c r="B7" s="187">
        <f>+OLD...Tabs!B41+OLD...Tabs!C41</f>
        <v>96.144894297100876</v>
      </c>
      <c r="C7" s="187">
        <f>+OLD...Tabs!B72+OLD...Tabs!C72</f>
        <v>99.309003850830962</v>
      </c>
      <c r="D7" s="187">
        <f>+OLD...Tabs!B103+OLD...Tabs!C103</f>
        <v>85.72008571106349</v>
      </c>
      <c r="E7" s="187">
        <f>+OLD...Tabs!B134+OLD...Tabs!C134</f>
        <v>93.390874865326182</v>
      </c>
      <c r="F7" s="187">
        <f>+OLD...Tabs!B164+OLD...Tabs!C164</f>
        <v>97.275210870482908</v>
      </c>
      <c r="G7" s="187">
        <f>+OLD...Tabs!B195+OLD...Tabs!C195</f>
        <v>30.036201149356621</v>
      </c>
      <c r="H7" s="189">
        <f>+OLD...Tabs!B9+OLD...Tabs!C9</f>
        <v>91.245998173707051</v>
      </c>
      <c r="I7" s="192">
        <f>+OLD...Tabs!B257+OLD...Tabs!C257</f>
        <v>0</v>
      </c>
      <c r="J7" s="187">
        <f>+OLD...Tabs!B288+OLD...Tabs!C288</f>
        <v>85.83602130372816</v>
      </c>
      <c r="K7" s="187">
        <f>+OLD...Tabs!B319+OLD...Tabs!C319</f>
        <v>86.994644307038897</v>
      </c>
      <c r="L7" s="187">
        <f>+OLD...Tabs!B349+OLD...Tabs!C349</f>
        <v>81.923175529764421</v>
      </c>
      <c r="M7" s="192">
        <f>+OLD...Tabs!B226+OLD...Tabs!C226</f>
        <v>85.786561173891499</v>
      </c>
      <c r="N7" s="195">
        <f>+OLD...Tabs!B410+OLD...Tabs!C410</f>
        <v>89.75599873947688</v>
      </c>
      <c r="O7" s="197">
        <f>+OLD...Tabs!B440+OLD...Tabs!C440</f>
        <v>100</v>
      </c>
      <c r="P7" s="199">
        <f>+OLD...Tabs!B380+OLD...Tabs!C380</f>
        <v>92.967192594767511</v>
      </c>
    </row>
    <row r="8" spans="1:16" ht="15.75" customHeight="1">
      <c r="A8" s="40" t="s">
        <v>654</v>
      </c>
      <c r="B8" s="187">
        <f>+OLD...Tabs!B42+OLD...Tabs!C42</f>
        <v>97.921510012542612</v>
      </c>
      <c r="C8" s="187">
        <f>+OLD...Tabs!B73+OLD...Tabs!C73</f>
        <v>0</v>
      </c>
      <c r="D8" s="187">
        <f>+OLD...Tabs!B104+OLD...Tabs!C104</f>
        <v>86.305497224654474</v>
      </c>
      <c r="E8" s="187">
        <f>+OLD...Tabs!B135+OLD...Tabs!C135</f>
        <v>88.758894312717132</v>
      </c>
      <c r="F8" s="187">
        <f>+OLD...Tabs!B165+OLD...Tabs!C165</f>
        <v>89.206574632944168</v>
      </c>
      <c r="G8" s="187">
        <f>+OLD...Tabs!B196+OLD...Tabs!C196</f>
        <v>88.967466623761752</v>
      </c>
      <c r="H8" s="190">
        <f>+OLD...Tabs!B10+OLD...Tabs!C10</f>
        <v>89.944074349512519</v>
      </c>
      <c r="I8" s="192">
        <f>+OLD...Tabs!B258+OLD...Tabs!C258</f>
        <v>0</v>
      </c>
      <c r="J8" s="187">
        <f>+OLD...Tabs!B289+OLD...Tabs!C289</f>
        <v>70.675197860610083</v>
      </c>
      <c r="K8" s="187">
        <f>+OLD...Tabs!B320+OLD...Tabs!C320</f>
        <v>82.600127087036199</v>
      </c>
      <c r="L8" s="187">
        <f>+OLD...Tabs!B350+OLD...Tabs!C350</f>
        <v>84.338125369525699</v>
      </c>
      <c r="M8" s="192">
        <f>+OLD...Tabs!B227+OLD...Tabs!C227</f>
        <v>81.494865856407955</v>
      </c>
      <c r="N8" s="195">
        <f>+OLD...Tabs!B411+OLD...Tabs!C411</f>
        <v>0</v>
      </c>
      <c r="O8" s="197">
        <f>+OLD...Tabs!B441+OLD...Tabs!C441</f>
        <v>0</v>
      </c>
      <c r="P8" s="200">
        <f>+OLD...Tabs!B381+OLD...Tabs!C381</f>
        <v>0</v>
      </c>
    </row>
    <row r="9" spans="1:16" ht="15.75" customHeight="1">
      <c r="A9" s="40" t="s">
        <v>655</v>
      </c>
      <c r="B9" s="187">
        <f>+OLD...Tabs!B43+OLD...Tabs!C43</f>
        <v>0</v>
      </c>
      <c r="C9" s="187">
        <f>+OLD...Tabs!B74+OLD...Tabs!C74</f>
        <v>0</v>
      </c>
      <c r="D9" s="187">
        <f>+OLD...Tabs!B105+OLD...Tabs!C105</f>
        <v>0</v>
      </c>
      <c r="E9" s="187">
        <f>+OLD...Tabs!B136+OLD...Tabs!C136</f>
        <v>0</v>
      </c>
      <c r="F9" s="187">
        <f>+OLD...Tabs!B166+OLD...Tabs!C166</f>
        <v>0</v>
      </c>
      <c r="G9" s="187">
        <f>+OLD...Tabs!B197+OLD...Tabs!C197</f>
        <v>0</v>
      </c>
      <c r="H9" s="190">
        <f>+OLD...Tabs!B11+OLD...Tabs!C11</f>
        <v>0</v>
      </c>
      <c r="I9" s="192">
        <f>+OLD...Tabs!B259+OLD...Tabs!C259</f>
        <v>0</v>
      </c>
      <c r="J9" s="187">
        <f>+OLD...Tabs!B290+OLD...Tabs!C290</f>
        <v>0</v>
      </c>
      <c r="K9" s="187">
        <f>+OLD...Tabs!B321+OLD...Tabs!C321</f>
        <v>0</v>
      </c>
      <c r="L9" s="187">
        <f>+OLD...Tabs!B351+OLD...Tabs!C351</f>
        <v>0</v>
      </c>
      <c r="M9" s="192">
        <f>+OLD...Tabs!B228+OLD...Tabs!C228</f>
        <v>0</v>
      </c>
      <c r="N9" s="195">
        <f>+OLD...Tabs!B412+OLD...Tabs!C412</f>
        <v>0</v>
      </c>
      <c r="O9" s="197">
        <f>+OLD...Tabs!B442+OLD...Tabs!C442</f>
        <v>0</v>
      </c>
      <c r="P9" s="200">
        <f>+OLD...Tabs!B382+OLD...Tabs!C382</f>
        <v>0</v>
      </c>
    </row>
    <row r="10" spans="1:16" ht="15.75" customHeight="1">
      <c r="A10" s="40" t="s">
        <v>656</v>
      </c>
      <c r="B10" s="187">
        <f>+OLD...Tabs!B44+OLD...Tabs!C44</f>
        <v>80.913175181239566</v>
      </c>
      <c r="C10" s="187">
        <f>+OLD...Tabs!B75+OLD...Tabs!C75</f>
        <v>93.871603270951738</v>
      </c>
      <c r="D10" s="187">
        <f>+OLD...Tabs!B106+OLD...Tabs!C106</f>
        <v>89.532801346942691</v>
      </c>
      <c r="E10" s="187">
        <f>+OLD...Tabs!B137+OLD...Tabs!C137</f>
        <v>82.507626256920119</v>
      </c>
      <c r="F10" s="187">
        <f>+OLD...Tabs!B167+OLD...Tabs!C167</f>
        <v>0</v>
      </c>
      <c r="G10" s="187">
        <f>+OLD...Tabs!B198+OLD...Tabs!C198</f>
        <v>100</v>
      </c>
      <c r="H10" s="190">
        <f>+OLD...Tabs!B12+OLD...Tabs!C12</f>
        <v>83.253495811192167</v>
      </c>
      <c r="I10" s="192">
        <f>+OLD...Tabs!B260+OLD...Tabs!C260</f>
        <v>82.455854687260029</v>
      </c>
      <c r="J10" s="187">
        <f>+OLD...Tabs!B291+OLD...Tabs!C291</f>
        <v>81.995324107857328</v>
      </c>
      <c r="K10" s="187">
        <f>+OLD...Tabs!B322+OLD...Tabs!C322</f>
        <v>77.821351341770352</v>
      </c>
      <c r="L10" s="187">
        <f>+OLD...Tabs!B352+OLD...Tabs!C352</f>
        <v>78.151459998417337</v>
      </c>
      <c r="M10" s="192">
        <f>+OLD...Tabs!B229+OLD...Tabs!C229</f>
        <v>81.916488679913755</v>
      </c>
      <c r="N10" s="195">
        <f>+OLD...Tabs!B413+OLD...Tabs!C413</f>
        <v>0</v>
      </c>
      <c r="O10" s="197">
        <f>+OLD...Tabs!B443+OLD...Tabs!C443</f>
        <v>0</v>
      </c>
      <c r="P10" s="200">
        <f>+OLD...Tabs!B383+OLD...Tabs!C383</f>
        <v>0</v>
      </c>
    </row>
    <row r="11" spans="1:16" ht="15.75" customHeight="1">
      <c r="A11" s="40"/>
      <c r="B11" s="187">
        <f>+OLD...Tabs!B45+OLD...Tabs!C45</f>
        <v>0</v>
      </c>
      <c r="C11" s="187">
        <f>+OLD...Tabs!B76+OLD...Tabs!C76</f>
        <v>0</v>
      </c>
      <c r="D11" s="187">
        <f>+OLD...Tabs!B107+OLD...Tabs!C107</f>
        <v>0</v>
      </c>
      <c r="E11" s="187">
        <f>+OLD...Tabs!B138+OLD...Tabs!C138</f>
        <v>0</v>
      </c>
      <c r="F11" s="187">
        <f>+OLD...Tabs!B168+OLD...Tabs!C168</f>
        <v>0</v>
      </c>
      <c r="G11" s="187">
        <f>+OLD...Tabs!B199+OLD...Tabs!C199</f>
        <v>0</v>
      </c>
      <c r="H11" s="190">
        <f>+OLD...Tabs!B13+OLD...Tabs!C13</f>
        <v>0</v>
      </c>
      <c r="I11" s="192">
        <f>+OLD...Tabs!B261+OLD...Tabs!C261</f>
        <v>0</v>
      </c>
      <c r="J11" s="187">
        <f>+OLD...Tabs!B292+OLD...Tabs!C292</f>
        <v>0</v>
      </c>
      <c r="K11" s="187">
        <f>+OLD...Tabs!B323+OLD...Tabs!C323</f>
        <v>0</v>
      </c>
      <c r="L11" s="187">
        <f>+OLD...Tabs!B353+OLD...Tabs!C353</f>
        <v>0</v>
      </c>
      <c r="M11" s="192">
        <f>+OLD...Tabs!B230+OLD...Tabs!C230</f>
        <v>0</v>
      </c>
      <c r="N11" s="195">
        <f>+OLD...Tabs!B414+OLD...Tabs!C414</f>
        <v>0</v>
      </c>
      <c r="O11" s="197">
        <f>+OLD...Tabs!B444+OLD...Tabs!C444</f>
        <v>0</v>
      </c>
      <c r="P11" s="200">
        <f>+OLD...Tabs!B384+OLD...Tabs!C384</f>
        <v>0</v>
      </c>
    </row>
    <row r="12" spans="1:16" ht="15.75" customHeight="1">
      <c r="A12" s="40" t="s">
        <v>657</v>
      </c>
      <c r="B12" s="187">
        <f>+OLD...Tabs!B46+OLD...Tabs!C46</f>
        <v>0</v>
      </c>
      <c r="C12" s="187">
        <f>+OLD...Tabs!B77+OLD...Tabs!C77</f>
        <v>0</v>
      </c>
      <c r="D12" s="187">
        <f>+OLD...Tabs!B108+OLD...Tabs!C108</f>
        <v>0</v>
      </c>
      <c r="E12" s="187">
        <f>+OLD...Tabs!B139+OLD...Tabs!C139</f>
        <v>0</v>
      </c>
      <c r="F12" s="187">
        <f>+OLD...Tabs!B169+OLD...Tabs!C169</f>
        <v>0</v>
      </c>
      <c r="G12" s="187">
        <f>+OLD...Tabs!B200+OLD...Tabs!C200</f>
        <v>0</v>
      </c>
      <c r="H12" s="190">
        <f>+OLD...Tabs!B14+OLD...Tabs!C14</f>
        <v>0</v>
      </c>
      <c r="I12" s="192">
        <f>+OLD...Tabs!B262+OLD...Tabs!C262</f>
        <v>0</v>
      </c>
      <c r="J12" s="187">
        <f>+OLD...Tabs!B293+OLD...Tabs!C293</f>
        <v>0</v>
      </c>
      <c r="K12" s="187">
        <f>+OLD...Tabs!B324+OLD...Tabs!C324</f>
        <v>0</v>
      </c>
      <c r="L12" s="187">
        <f>+OLD...Tabs!B354+OLD...Tabs!C354</f>
        <v>0</v>
      </c>
      <c r="M12" s="192">
        <f>+OLD...Tabs!B231+OLD...Tabs!C231</f>
        <v>0</v>
      </c>
      <c r="N12" s="195">
        <f>+OLD...Tabs!B415+OLD...Tabs!C415</f>
        <v>82.455265234946367</v>
      </c>
      <c r="O12" s="197">
        <f>+OLD...Tabs!B445+OLD...Tabs!C445</f>
        <v>89.399140529272941</v>
      </c>
      <c r="P12" s="200">
        <f>+OLD...Tabs!B385+OLD...Tabs!C385</f>
        <v>82.573859751351463</v>
      </c>
    </row>
    <row r="13" spans="1:16" ht="15.75" customHeight="1">
      <c r="A13" s="40" t="s">
        <v>658</v>
      </c>
      <c r="B13" s="187">
        <f>+OLD...Tabs!B47+OLD...Tabs!C47</f>
        <v>96.816053012355056</v>
      </c>
      <c r="C13" s="187">
        <f>+OLD...Tabs!B78+OLD...Tabs!C78</f>
        <v>0</v>
      </c>
      <c r="D13" s="187">
        <f>+OLD...Tabs!B109+OLD...Tabs!C109</f>
        <v>87.22875958988061</v>
      </c>
      <c r="E13" s="187">
        <f>+OLD...Tabs!B140+OLD...Tabs!C140</f>
        <v>91.748019142558064</v>
      </c>
      <c r="F13" s="187">
        <f>+OLD...Tabs!B170+OLD...Tabs!C170</f>
        <v>0</v>
      </c>
      <c r="G13" s="187">
        <f>+OLD...Tabs!B201+OLD...Tabs!C201</f>
        <v>0</v>
      </c>
      <c r="H13" s="190">
        <f>+OLD...Tabs!B15+OLD...Tabs!C15</f>
        <v>91.370210243399271</v>
      </c>
      <c r="I13" s="192">
        <f>+OLD...Tabs!B263+OLD...Tabs!C263</f>
        <v>0</v>
      </c>
      <c r="J13" s="187">
        <f>+OLD...Tabs!B294+OLD...Tabs!C294</f>
        <v>79.683148624560019</v>
      </c>
      <c r="K13" s="187">
        <f>+OLD...Tabs!B325+OLD...Tabs!C325</f>
        <v>74.588173243220041</v>
      </c>
      <c r="L13" s="187">
        <f>+OLD...Tabs!B355+OLD...Tabs!C355</f>
        <v>74.198993224544338</v>
      </c>
      <c r="M13" s="192">
        <f>+OLD...Tabs!B232+OLD...Tabs!C232</f>
        <v>76.282266568258962</v>
      </c>
      <c r="N13" s="195">
        <f>+OLD...Tabs!B416+OLD...Tabs!C416</f>
        <v>94.871261143038154</v>
      </c>
      <c r="O13" s="197">
        <f>+OLD...Tabs!B446+OLD...Tabs!C446</f>
        <v>0</v>
      </c>
      <c r="P13" s="200">
        <f>+OLD...Tabs!B386+OLD...Tabs!C386</f>
        <v>94.871261143038154</v>
      </c>
    </row>
    <row r="14" spans="1:16" ht="15.75" customHeight="1">
      <c r="A14" s="40" t="s">
        <v>659</v>
      </c>
      <c r="B14" s="187">
        <f>+OLD...Tabs!B48+OLD...Tabs!C48</f>
        <v>0</v>
      </c>
      <c r="C14" s="187">
        <f>+OLD...Tabs!B79+OLD...Tabs!C79</f>
        <v>0</v>
      </c>
      <c r="D14" s="187">
        <f>+OLD...Tabs!B110+OLD...Tabs!C110</f>
        <v>0</v>
      </c>
      <c r="E14" s="187">
        <f>+OLD...Tabs!B141+OLD...Tabs!C141</f>
        <v>0</v>
      </c>
      <c r="F14" s="187">
        <f>+OLD...Tabs!B171+OLD...Tabs!C171</f>
        <v>0</v>
      </c>
      <c r="G14" s="187">
        <f>+OLD...Tabs!B202+OLD...Tabs!C202</f>
        <v>0</v>
      </c>
      <c r="H14" s="190">
        <f>+OLD...Tabs!B16+OLD...Tabs!C16</f>
        <v>0</v>
      </c>
      <c r="I14" s="192">
        <f>+OLD...Tabs!B264+OLD...Tabs!C264</f>
        <v>0</v>
      </c>
      <c r="J14" s="187">
        <f>+OLD...Tabs!B295+OLD...Tabs!C295</f>
        <v>0</v>
      </c>
      <c r="K14" s="187">
        <f>+OLD...Tabs!B326+OLD...Tabs!C326</f>
        <v>0</v>
      </c>
      <c r="L14" s="187">
        <f>+OLD...Tabs!B356+OLD...Tabs!C356</f>
        <v>0</v>
      </c>
      <c r="M14" s="192">
        <f>+OLD...Tabs!B233+OLD...Tabs!C233</f>
        <v>0</v>
      </c>
      <c r="N14" s="195">
        <f>+OLD...Tabs!B417+OLD...Tabs!C417</f>
        <v>0</v>
      </c>
      <c r="O14" s="197">
        <f>+OLD...Tabs!B447+OLD...Tabs!C447</f>
        <v>0</v>
      </c>
      <c r="P14" s="200">
        <f>+OLD...Tabs!B387+OLD...Tabs!C387</f>
        <v>0</v>
      </c>
    </row>
    <row r="15" spans="1:16" ht="15.75" customHeight="1">
      <c r="A15" s="40" t="s">
        <v>660</v>
      </c>
      <c r="B15" s="187">
        <f>+OLD...Tabs!B49+OLD...Tabs!C49</f>
        <v>99.095047777510374</v>
      </c>
      <c r="C15" s="187">
        <f>+OLD...Tabs!B80+OLD...Tabs!C80</f>
        <v>95.391889488350031</v>
      </c>
      <c r="D15" s="187">
        <f>+OLD...Tabs!B111+OLD...Tabs!C111</f>
        <v>97.291199780026432</v>
      </c>
      <c r="E15" s="187">
        <f>+OLD...Tabs!B142+OLD...Tabs!C142</f>
        <v>92.916827233599108</v>
      </c>
      <c r="F15" s="187">
        <f>+OLD...Tabs!B172+OLD...Tabs!C172</f>
        <v>0</v>
      </c>
      <c r="G15" s="187">
        <f>+OLD...Tabs!B203+OLD...Tabs!C203</f>
        <v>100</v>
      </c>
      <c r="H15" s="190">
        <f>+OLD...Tabs!B17+OLD...Tabs!C17</f>
        <v>85.61603966206971</v>
      </c>
      <c r="I15" s="192">
        <f>+OLD...Tabs!B265+OLD...Tabs!C265</f>
        <v>0</v>
      </c>
      <c r="J15" s="187">
        <f>+OLD...Tabs!B296+OLD...Tabs!C296</f>
        <v>88.759509694561785</v>
      </c>
      <c r="K15" s="187">
        <f>+OLD...Tabs!B327+OLD...Tabs!C327</f>
        <v>85.105204988004999</v>
      </c>
      <c r="L15" s="187">
        <f>+OLD...Tabs!B357+OLD...Tabs!C357</f>
        <v>88.212710566014195</v>
      </c>
      <c r="M15" s="192">
        <f>+OLD...Tabs!B234+OLD...Tabs!C234</f>
        <v>87.422312451647599</v>
      </c>
      <c r="N15" s="195">
        <f>+OLD...Tabs!B418+OLD...Tabs!C418</f>
        <v>0</v>
      </c>
      <c r="O15" s="197">
        <f>+OLD...Tabs!B448+OLD...Tabs!C448</f>
        <v>0</v>
      </c>
      <c r="P15" s="200">
        <f>+OLD...Tabs!B388+OLD...Tabs!C388</f>
        <v>0</v>
      </c>
    </row>
    <row r="16" spans="1:16" ht="15.75" customHeight="1">
      <c r="A16" s="40"/>
      <c r="B16" s="187">
        <f>+OLD...Tabs!B50+OLD...Tabs!C50</f>
        <v>0</v>
      </c>
      <c r="C16" s="187">
        <f>+OLD...Tabs!B81+OLD...Tabs!C81</f>
        <v>0</v>
      </c>
      <c r="D16" s="187">
        <f>+OLD...Tabs!B112+OLD...Tabs!C112</f>
        <v>0</v>
      </c>
      <c r="E16" s="187">
        <f>+OLD...Tabs!B143+OLD...Tabs!C143</f>
        <v>0</v>
      </c>
      <c r="F16" s="187">
        <f>+OLD...Tabs!B173+OLD...Tabs!C173</f>
        <v>0</v>
      </c>
      <c r="G16" s="187">
        <f>+OLD...Tabs!B204+OLD...Tabs!C204</f>
        <v>0</v>
      </c>
      <c r="H16" s="190">
        <f>+OLD...Tabs!B18+OLD...Tabs!C18</f>
        <v>0</v>
      </c>
      <c r="I16" s="192">
        <f>+OLD...Tabs!B266+OLD...Tabs!C266</f>
        <v>0</v>
      </c>
      <c r="J16" s="187">
        <f>+OLD...Tabs!B297+OLD...Tabs!C297</f>
        <v>0</v>
      </c>
      <c r="K16" s="187">
        <f>+OLD...Tabs!B328+OLD...Tabs!C328</f>
        <v>0</v>
      </c>
      <c r="L16" s="187">
        <f>+OLD...Tabs!B358+OLD...Tabs!C358</f>
        <v>0</v>
      </c>
      <c r="M16" s="192">
        <f>+OLD...Tabs!B235+OLD...Tabs!C235</f>
        <v>0</v>
      </c>
      <c r="N16" s="195">
        <f>+OLD...Tabs!B419+OLD...Tabs!C419</f>
        <v>0</v>
      </c>
      <c r="O16" s="197">
        <f>+OLD...Tabs!B449+OLD...Tabs!C449</f>
        <v>0</v>
      </c>
      <c r="P16" s="200">
        <f>+OLD...Tabs!B389+OLD...Tabs!C389</f>
        <v>0</v>
      </c>
    </row>
    <row r="17" spans="1:16" ht="15.75" customHeight="1">
      <c r="A17" s="40" t="s">
        <v>661</v>
      </c>
      <c r="B17" s="187">
        <f>+OLD...Tabs!B51+OLD...Tabs!C51</f>
        <v>93.301166041816586</v>
      </c>
      <c r="C17" s="187">
        <f>+OLD...Tabs!B82+OLD...Tabs!C82</f>
        <v>96.004609849336632</v>
      </c>
      <c r="D17" s="187">
        <f>+OLD...Tabs!B113+OLD...Tabs!C113</f>
        <v>0</v>
      </c>
      <c r="E17" s="187">
        <f>+OLD...Tabs!B144+OLD...Tabs!C144</f>
        <v>88.421369797459263</v>
      </c>
      <c r="F17" s="187">
        <f>+OLD...Tabs!B174+OLD...Tabs!C174</f>
        <v>79.907964846723402</v>
      </c>
      <c r="G17" s="187">
        <f>+OLD...Tabs!B205+OLD...Tabs!C205</f>
        <v>0</v>
      </c>
      <c r="H17" s="190">
        <f>+OLD...Tabs!B19+OLD...Tabs!C19</f>
        <v>93.023343890699806</v>
      </c>
      <c r="I17" s="192">
        <f>+OLD...Tabs!B267+OLD...Tabs!C267</f>
        <v>0</v>
      </c>
      <c r="J17" s="187">
        <f>+OLD...Tabs!B298+OLD...Tabs!C298</f>
        <v>82.311818249875586</v>
      </c>
      <c r="K17" s="187">
        <f>+OLD...Tabs!B329+OLD...Tabs!C329</f>
        <v>87.035016261405161</v>
      </c>
      <c r="L17" s="187">
        <f>+OLD...Tabs!B359+OLD...Tabs!C359</f>
        <v>91.819948186528507</v>
      </c>
      <c r="M17" s="192">
        <f>+OLD...Tabs!B236+OLD...Tabs!C236</f>
        <v>85.102161568193523</v>
      </c>
      <c r="N17" s="195">
        <f>+OLD...Tabs!B420+OLD...Tabs!C420</f>
        <v>0</v>
      </c>
      <c r="O17" s="197">
        <f>+OLD...Tabs!B450+OLD...Tabs!C450</f>
        <v>0</v>
      </c>
      <c r="P17" s="200">
        <f>+OLD...Tabs!B390+OLD...Tabs!C390</f>
        <v>0</v>
      </c>
    </row>
    <row r="18" spans="1:16" ht="15.75" customHeight="1">
      <c r="A18" s="40" t="s">
        <v>662</v>
      </c>
      <c r="B18" s="187">
        <f>+OLD...Tabs!B52+OLD...Tabs!C52</f>
        <v>93.948496873653852</v>
      </c>
      <c r="C18" s="187">
        <f>+OLD...Tabs!B83+OLD...Tabs!C83</f>
        <v>90.711643377921391</v>
      </c>
      <c r="D18" s="187">
        <f>+OLD...Tabs!B114+OLD...Tabs!C114</f>
        <v>92.445802878409935</v>
      </c>
      <c r="E18" s="187">
        <f>+OLD...Tabs!B145+OLD...Tabs!C145</f>
        <v>89.042252794718721</v>
      </c>
      <c r="F18" s="187">
        <f>+OLD...Tabs!B175+OLD...Tabs!C175</f>
        <v>87.680297797588466</v>
      </c>
      <c r="G18" s="187">
        <f>+OLD...Tabs!B206+OLD...Tabs!C206</f>
        <v>93.177681412004929</v>
      </c>
      <c r="H18" s="190">
        <f>+OLD...Tabs!B20+OLD...Tabs!C20</f>
        <v>92.082214535435995</v>
      </c>
      <c r="I18" s="192">
        <f>+OLD...Tabs!B268+OLD...Tabs!C268</f>
        <v>0</v>
      </c>
      <c r="J18" s="187">
        <f>+OLD...Tabs!B299+OLD...Tabs!C299</f>
        <v>80.040235126628033</v>
      </c>
      <c r="K18" s="187">
        <f>+OLD...Tabs!B330+OLD...Tabs!C330</f>
        <v>78.174503807393108</v>
      </c>
      <c r="L18" s="187">
        <f>+OLD...Tabs!B360+OLD...Tabs!C360</f>
        <v>77.373255464578932</v>
      </c>
      <c r="M18" s="192">
        <f>+OLD...Tabs!B237+OLD...Tabs!C237</f>
        <v>78.857687883859583</v>
      </c>
      <c r="N18" s="195">
        <f>+OLD...Tabs!B421+OLD...Tabs!C421</f>
        <v>0</v>
      </c>
      <c r="O18" s="197">
        <f>+OLD...Tabs!B451+OLD...Tabs!C451</f>
        <v>0</v>
      </c>
      <c r="P18" s="200">
        <f>+OLD...Tabs!B391+OLD...Tabs!C391</f>
        <v>0</v>
      </c>
    </row>
    <row r="19" spans="1:16" ht="15.75" customHeight="1">
      <c r="A19" s="40" t="s">
        <v>663</v>
      </c>
      <c r="B19" s="187">
        <f>+OLD...Tabs!B53+OLD...Tabs!C53</f>
        <v>94.227616056373776</v>
      </c>
      <c r="C19" s="187">
        <f>+OLD...Tabs!B84+OLD...Tabs!C84</f>
        <v>0</v>
      </c>
      <c r="D19" s="187">
        <f>+OLD...Tabs!B115+OLD...Tabs!C115</f>
        <v>91.729997099087413</v>
      </c>
      <c r="E19" s="187">
        <f>+OLD...Tabs!B146+OLD...Tabs!C146</f>
        <v>0</v>
      </c>
      <c r="F19" s="187">
        <f>+OLD...Tabs!B176+OLD...Tabs!C176</f>
        <v>84.202101284197965</v>
      </c>
      <c r="G19" s="187">
        <f>+OLD...Tabs!B207+OLD...Tabs!C207</f>
        <v>78.333726542922534</v>
      </c>
      <c r="H19" s="190">
        <f>+OLD...Tabs!B21+OLD...Tabs!C21</f>
        <v>90.106974200185647</v>
      </c>
      <c r="I19" s="192">
        <f>+OLD...Tabs!B269+OLD...Tabs!C269</f>
        <v>100</v>
      </c>
      <c r="J19" s="187">
        <f>+OLD...Tabs!B300+OLD...Tabs!C300</f>
        <v>79.508014769561697</v>
      </c>
      <c r="K19" s="187">
        <f>+OLD...Tabs!B331+OLD...Tabs!C331</f>
        <v>77.937831886392559</v>
      </c>
      <c r="L19" s="187">
        <f>+OLD...Tabs!B361+OLD...Tabs!C361</f>
        <v>75.597953404394275</v>
      </c>
      <c r="M19" s="192">
        <f>+OLD...Tabs!B238+OLD...Tabs!C238</f>
        <v>79.416601026289214</v>
      </c>
      <c r="N19" s="195">
        <f>+OLD...Tabs!B422+OLD...Tabs!C422</f>
        <v>0</v>
      </c>
      <c r="O19" s="197">
        <f>+OLD...Tabs!B452+OLD...Tabs!C452</f>
        <v>0</v>
      </c>
      <c r="P19" s="200">
        <f>+OLD...Tabs!B392+OLD...Tabs!C392</f>
        <v>0</v>
      </c>
    </row>
    <row r="20" spans="1:16" ht="15.75" customHeight="1">
      <c r="A20" s="40" t="s">
        <v>664</v>
      </c>
      <c r="B20" s="187">
        <f>+OLD...Tabs!B54+OLD...Tabs!C54</f>
        <v>96.604953431696671</v>
      </c>
      <c r="C20" s="187">
        <f>+OLD...Tabs!B85+OLD...Tabs!C85</f>
        <v>0</v>
      </c>
      <c r="D20" s="187">
        <f>+OLD...Tabs!B116+OLD...Tabs!C116</f>
        <v>100</v>
      </c>
      <c r="E20" s="187">
        <f>+OLD...Tabs!B147+OLD...Tabs!C147</f>
        <v>99.870773206978242</v>
      </c>
      <c r="F20" s="187">
        <f>+OLD...Tabs!B177+OLD...Tabs!C177</f>
        <v>97.847012354437979</v>
      </c>
      <c r="G20" s="187">
        <f>+OLD...Tabs!B208+OLD...Tabs!C208</f>
        <v>95.414625316056544</v>
      </c>
      <c r="H20" s="190">
        <f>+OLD...Tabs!B22+OLD...Tabs!C22</f>
        <v>97.40339001741026</v>
      </c>
      <c r="I20" s="192">
        <f>+OLD...Tabs!B270+OLD...Tabs!C270</f>
        <v>0</v>
      </c>
      <c r="J20" s="187">
        <f>+OLD...Tabs!B301+OLD...Tabs!C301</f>
        <v>81.791189424593441</v>
      </c>
      <c r="K20" s="187">
        <f>+OLD...Tabs!B332+OLD...Tabs!C332</f>
        <v>82.386422512015017</v>
      </c>
      <c r="L20" s="187">
        <f>+OLD...Tabs!B362+OLD...Tabs!C362</f>
        <v>88.661198523958859</v>
      </c>
      <c r="M20" s="192">
        <f>+OLD...Tabs!B239+OLD...Tabs!C239</f>
        <v>82.747696759542748</v>
      </c>
      <c r="N20" s="195">
        <f>+OLD...Tabs!B423+OLD...Tabs!C423</f>
        <v>0</v>
      </c>
      <c r="O20" s="197">
        <f>+OLD...Tabs!B453+OLD...Tabs!C453</f>
        <v>0</v>
      </c>
      <c r="P20" s="200">
        <f>+OLD...Tabs!B393+OLD...Tabs!C393</f>
        <v>0</v>
      </c>
    </row>
    <row r="21" spans="1:16" ht="15.75" customHeight="1">
      <c r="A21" s="40"/>
      <c r="B21" s="187">
        <f>+OLD...Tabs!B55+OLD...Tabs!C55</f>
        <v>0</v>
      </c>
      <c r="C21" s="187">
        <f>+OLD...Tabs!B86+OLD...Tabs!C86</f>
        <v>0</v>
      </c>
      <c r="D21" s="187">
        <f>+OLD...Tabs!B117+OLD...Tabs!C117</f>
        <v>0</v>
      </c>
      <c r="E21" s="187">
        <f>+OLD...Tabs!B148+OLD...Tabs!C148</f>
        <v>0</v>
      </c>
      <c r="F21" s="187">
        <f>+OLD...Tabs!B178+OLD...Tabs!C178</f>
        <v>0</v>
      </c>
      <c r="G21" s="187">
        <f>+OLD...Tabs!B209+OLD...Tabs!C209</f>
        <v>0</v>
      </c>
      <c r="H21" s="190">
        <f>+OLD...Tabs!B23+OLD...Tabs!C23</f>
        <v>0</v>
      </c>
      <c r="I21" s="192">
        <f>+OLD...Tabs!B271+OLD...Tabs!C271</f>
        <v>0</v>
      </c>
      <c r="J21" s="187">
        <f>+OLD...Tabs!B302+OLD...Tabs!C302</f>
        <v>0</v>
      </c>
      <c r="K21" s="187">
        <f>+OLD...Tabs!B333+OLD...Tabs!C333</f>
        <v>0</v>
      </c>
      <c r="L21" s="187">
        <f>+OLD...Tabs!B363+OLD...Tabs!C363</f>
        <v>0</v>
      </c>
      <c r="M21" s="192">
        <f>+OLD...Tabs!B240+OLD...Tabs!C240</f>
        <v>0</v>
      </c>
      <c r="N21" s="195">
        <f>+OLD...Tabs!B424+OLD...Tabs!C424</f>
        <v>0</v>
      </c>
      <c r="O21" s="197">
        <f>+OLD...Tabs!B454+OLD...Tabs!C454</f>
        <v>0</v>
      </c>
      <c r="P21" s="200">
        <f>+OLD...Tabs!B394+OLD...Tabs!C394</f>
        <v>0</v>
      </c>
    </row>
    <row r="22" spans="1:16" ht="15.75" customHeight="1">
      <c r="A22" s="40" t="s">
        <v>665</v>
      </c>
      <c r="B22" s="187">
        <f>+OLD...Tabs!B56+OLD...Tabs!C56</f>
        <v>86.788935629272743</v>
      </c>
      <c r="C22" s="187">
        <f>+OLD...Tabs!B87+OLD...Tabs!C87</f>
        <v>0</v>
      </c>
      <c r="D22" s="187">
        <f>+OLD...Tabs!B118+OLD...Tabs!C118</f>
        <v>87.233389527435534</v>
      </c>
      <c r="E22" s="187">
        <f>+OLD...Tabs!B149+OLD...Tabs!C149</f>
        <v>0</v>
      </c>
      <c r="F22" s="187">
        <f>+OLD...Tabs!B179+OLD...Tabs!C179</f>
        <v>95.007922703319281</v>
      </c>
      <c r="G22" s="187">
        <f>+OLD...Tabs!B210+OLD...Tabs!C210</f>
        <v>0</v>
      </c>
      <c r="H22" s="190">
        <f>+OLD...Tabs!B24+OLD...Tabs!C24</f>
        <v>87.582440817590481</v>
      </c>
      <c r="I22" s="192">
        <f>+OLD...Tabs!B272+OLD...Tabs!C272</f>
        <v>0</v>
      </c>
      <c r="J22" s="187">
        <f>+OLD...Tabs!B303+OLD...Tabs!C303</f>
        <v>82.454212173859801</v>
      </c>
      <c r="K22" s="187">
        <f>+OLD...Tabs!B334+OLD...Tabs!C334</f>
        <v>76.839347673024591</v>
      </c>
      <c r="L22" s="187">
        <f>+OLD...Tabs!B364+OLD...Tabs!C364</f>
        <v>80.312373553451494</v>
      </c>
      <c r="M22" s="192">
        <f>+OLD...Tabs!B241+OLD...Tabs!C241</f>
        <v>78.974303141875708</v>
      </c>
      <c r="N22" s="195">
        <f>+OLD...Tabs!B425+OLD...Tabs!C425</f>
        <v>0</v>
      </c>
      <c r="O22" s="197">
        <f>+OLD...Tabs!B455+OLD...Tabs!C455</f>
        <v>100</v>
      </c>
      <c r="P22" s="200">
        <f>+OLD...Tabs!B395+OLD...Tabs!C395</f>
        <v>100</v>
      </c>
    </row>
    <row r="23" spans="1:16" ht="15.75" customHeight="1">
      <c r="A23" s="40" t="s">
        <v>666</v>
      </c>
      <c r="B23" s="187">
        <f>+OLD...Tabs!B57+OLD...Tabs!C57</f>
        <v>94.63101478416219</v>
      </c>
      <c r="C23" s="187">
        <f>+OLD...Tabs!B88+OLD...Tabs!C88</f>
        <v>94.523545871871249</v>
      </c>
      <c r="D23" s="187">
        <f>+OLD...Tabs!B119+OLD...Tabs!C119</f>
        <v>94.266472455603562</v>
      </c>
      <c r="E23" s="187">
        <f>+OLD...Tabs!B150+OLD...Tabs!C150</f>
        <v>67.505271084337352</v>
      </c>
      <c r="F23" s="187">
        <f>+OLD...Tabs!B180+OLD...Tabs!C180</f>
        <v>87.376439057735922</v>
      </c>
      <c r="G23" s="187">
        <f>+OLD...Tabs!B211+OLD...Tabs!C211</f>
        <v>100</v>
      </c>
      <c r="H23" s="190">
        <f>+OLD...Tabs!B25+OLD...Tabs!C25</f>
        <v>93.976098348719063</v>
      </c>
      <c r="I23" s="192">
        <f>+OLD...Tabs!B273+OLD...Tabs!C273</f>
        <v>84.815554420347055</v>
      </c>
      <c r="J23" s="187">
        <f>+OLD...Tabs!B304+OLD...Tabs!C304</f>
        <v>83.921215626977499</v>
      </c>
      <c r="K23" s="187">
        <f>+OLD...Tabs!B335+OLD...Tabs!C335</f>
        <v>83.308608376558169</v>
      </c>
      <c r="L23" s="187">
        <f>+OLD...Tabs!B365+OLD...Tabs!C365</f>
        <v>77.404438819752045</v>
      </c>
      <c r="M23" s="192">
        <f>+OLD...Tabs!B242+OLD...Tabs!C242</f>
        <v>83.634568998417109</v>
      </c>
      <c r="N23" s="195">
        <f>+OLD...Tabs!B426+OLD...Tabs!C426</f>
        <v>0</v>
      </c>
      <c r="O23" s="197">
        <f>+OLD...Tabs!B456+OLD...Tabs!C456</f>
        <v>0</v>
      </c>
      <c r="P23" s="200">
        <f>+OLD...Tabs!B396+OLD...Tabs!C396</f>
        <v>0</v>
      </c>
    </row>
    <row r="24" spans="1:16" ht="15.75" customHeight="1">
      <c r="A24" s="40" t="s">
        <v>667</v>
      </c>
      <c r="B24" s="187">
        <f>+OLD...Tabs!B58+OLD...Tabs!C58</f>
        <v>0</v>
      </c>
      <c r="C24" s="187">
        <f>+OLD...Tabs!B89+OLD...Tabs!C89</f>
        <v>0</v>
      </c>
      <c r="D24" s="187">
        <f>+OLD...Tabs!B120+OLD...Tabs!C120</f>
        <v>0</v>
      </c>
      <c r="E24" s="187">
        <f>+OLD...Tabs!B151+OLD...Tabs!C151</f>
        <v>0</v>
      </c>
      <c r="F24" s="187">
        <f>+OLD...Tabs!B181+OLD...Tabs!C181</f>
        <v>0</v>
      </c>
      <c r="G24" s="187">
        <f>+OLD...Tabs!B212+OLD...Tabs!C212</f>
        <v>0</v>
      </c>
      <c r="H24" s="190">
        <f>+OLD...Tabs!B26+OLD...Tabs!C26</f>
        <v>0</v>
      </c>
      <c r="I24" s="192">
        <f>+OLD...Tabs!B274+OLD...Tabs!C274</f>
        <v>0</v>
      </c>
      <c r="J24" s="187">
        <f>+OLD...Tabs!B305+OLD...Tabs!C305</f>
        <v>0</v>
      </c>
      <c r="K24" s="187">
        <f>+OLD...Tabs!B336+OLD...Tabs!C336</f>
        <v>0</v>
      </c>
      <c r="L24" s="187">
        <f>+OLD...Tabs!B366+OLD...Tabs!C366</f>
        <v>0</v>
      </c>
      <c r="M24" s="192">
        <f>+OLD...Tabs!B243+OLD...Tabs!C243</f>
        <v>0</v>
      </c>
      <c r="N24" s="195">
        <f>+OLD...Tabs!B427+OLD...Tabs!C427</f>
        <v>0</v>
      </c>
      <c r="O24" s="197">
        <f>+OLD...Tabs!B457+OLD...Tabs!C457</f>
        <v>0</v>
      </c>
      <c r="P24" s="200">
        <f>+OLD...Tabs!B397+OLD...Tabs!C397</f>
        <v>0</v>
      </c>
    </row>
    <row r="25" spans="1:16" ht="15.75" customHeight="1">
      <c r="A25" s="57" t="s">
        <v>668</v>
      </c>
      <c r="B25" s="188">
        <f>+OLD...Tabs!B59+OLD...Tabs!C59</f>
        <v>93.94952107949382</v>
      </c>
      <c r="C25" s="188">
        <f>+OLD...Tabs!B90+OLD...Tabs!C90</f>
        <v>0</v>
      </c>
      <c r="D25" s="188">
        <f>+OLD...Tabs!B121+OLD...Tabs!C121</f>
        <v>87.675109609096864</v>
      </c>
      <c r="E25" s="188">
        <f>+OLD...Tabs!B152+OLD...Tabs!C152</f>
        <v>0</v>
      </c>
      <c r="F25" s="188">
        <f>+OLD...Tabs!B182+OLD...Tabs!C182</f>
        <v>93.486495683633635</v>
      </c>
      <c r="G25" s="188">
        <f>+OLD...Tabs!B213+OLD...Tabs!C213</f>
        <v>91.444613332506137</v>
      </c>
      <c r="H25" s="191">
        <f>+OLD...Tabs!B27+OLD...Tabs!C27</f>
        <v>92.19505983349444</v>
      </c>
      <c r="I25" s="193">
        <f>+OLD...Tabs!B275+OLD...Tabs!C275</f>
        <v>83.687684104552744</v>
      </c>
      <c r="J25" s="188">
        <f>+OLD...Tabs!B306+OLD...Tabs!C306</f>
        <v>0</v>
      </c>
      <c r="K25" s="188">
        <f>+OLD...Tabs!B337+OLD...Tabs!C337</f>
        <v>0</v>
      </c>
      <c r="L25" s="194">
        <f>+OLD...Tabs!B367+OLD...Tabs!C367</f>
        <v>85.334264394062956</v>
      </c>
      <c r="M25" s="193">
        <f>+OLD...Tabs!B244+OLD...Tabs!C244</f>
        <v>84.914877896364345</v>
      </c>
      <c r="N25" s="196">
        <f>+OLD...Tabs!B428+OLD...Tabs!C428</f>
        <v>0</v>
      </c>
      <c r="O25" s="198">
        <f>+OLD...Tabs!B458+OLD...Tabs!C458</f>
        <v>0</v>
      </c>
      <c r="P25" s="201">
        <f>+OLD...Tabs!B398+OLD...Tabs!C398</f>
        <v>0</v>
      </c>
    </row>
    <row r="26" spans="1:16" s="59" customFormat="1" ht="13.5" customHeight="1">
      <c r="A26" s="58" t="s">
        <v>669</v>
      </c>
      <c r="H26" s="60"/>
      <c r="J26" s="61"/>
      <c r="M26" s="61"/>
      <c r="P26" s="60"/>
    </row>
    <row r="27" spans="1:16" s="59" customFormat="1" ht="11.25">
      <c r="A27" s="62"/>
      <c r="H27" s="60"/>
      <c r="J27" s="61"/>
      <c r="M27" s="61"/>
      <c r="P27" s="60"/>
    </row>
    <row r="28" spans="1:16" s="59" customFormat="1" ht="11.25">
      <c r="H28" s="60"/>
      <c r="M28" s="63"/>
      <c r="P28" s="64" t="s">
        <v>1034</v>
      </c>
    </row>
    <row r="29" spans="1:16" ht="18">
      <c r="A29" s="631" t="s">
        <v>670</v>
      </c>
      <c r="B29" s="631"/>
      <c r="C29" s="631"/>
      <c r="D29" s="631"/>
      <c r="E29" s="631"/>
      <c r="F29" s="631"/>
      <c r="G29" s="631"/>
      <c r="H29" s="631"/>
      <c r="I29" s="631"/>
      <c r="J29" s="631"/>
      <c r="K29" s="631"/>
      <c r="L29" s="631"/>
      <c r="M29" s="631"/>
      <c r="N29" s="631"/>
      <c r="O29" s="631"/>
      <c r="P29" s="631"/>
    </row>
    <row r="30" spans="1:16" s="40" customFormat="1" ht="12.75">
      <c r="A30" s="37"/>
      <c r="B30" s="36"/>
      <c r="C30" s="36"/>
      <c r="D30" s="36"/>
      <c r="E30" s="36"/>
      <c r="F30" s="36"/>
      <c r="G30" s="36"/>
      <c r="H30" s="38"/>
      <c r="I30" s="36"/>
      <c r="J30" s="36"/>
      <c r="K30" s="36"/>
      <c r="L30" s="36"/>
      <c r="M30" s="39"/>
      <c r="P30" s="65"/>
    </row>
    <row r="31" spans="1:16" ht="15.75">
      <c r="A31" s="640" t="s">
        <v>1005</v>
      </c>
      <c r="B31" s="640"/>
      <c r="C31" s="640"/>
      <c r="D31" s="640"/>
      <c r="E31" s="640"/>
      <c r="F31" s="640"/>
      <c r="G31" s="640"/>
      <c r="H31" s="640"/>
      <c r="I31" s="640"/>
      <c r="J31" s="640"/>
      <c r="K31" s="640"/>
      <c r="L31" s="640"/>
      <c r="M31" s="640"/>
      <c r="N31" s="640"/>
      <c r="O31" s="640"/>
      <c r="P31" s="640"/>
    </row>
    <row r="32" spans="1:16" s="40" customFormat="1" ht="9.75" customHeight="1">
      <c r="A32" s="66"/>
      <c r="B32" s="36"/>
      <c r="C32" s="36"/>
      <c r="D32" s="36"/>
      <c r="E32" s="36"/>
      <c r="F32" s="36"/>
      <c r="G32" s="36"/>
      <c r="H32" s="38"/>
      <c r="I32" s="36"/>
      <c r="J32" s="36"/>
      <c r="K32" s="36"/>
      <c r="L32" s="36"/>
      <c r="M32" s="39"/>
      <c r="P32" s="65"/>
    </row>
    <row r="33" spans="1:16" s="49" customFormat="1" ht="18" customHeight="1">
      <c r="A33" s="45"/>
      <c r="B33" s="47" t="s">
        <v>565</v>
      </c>
      <c r="C33" s="47"/>
      <c r="D33" s="47"/>
      <c r="E33" s="47"/>
      <c r="F33" s="47"/>
      <c r="G33" s="47"/>
      <c r="H33" s="68"/>
      <c r="I33" s="46" t="s">
        <v>566</v>
      </c>
      <c r="J33" s="47"/>
      <c r="K33" s="47"/>
      <c r="L33" s="47"/>
      <c r="M33" s="47"/>
      <c r="N33" s="46" t="s">
        <v>567</v>
      </c>
      <c r="O33" s="47"/>
      <c r="P33" s="48"/>
    </row>
    <row r="34" spans="1:16" s="56" customFormat="1" ht="26.25" customHeight="1">
      <c r="A34" s="50"/>
      <c r="B34" s="51">
        <v>1</v>
      </c>
      <c r="C34" s="51">
        <v>2</v>
      </c>
      <c r="D34" s="51">
        <v>3</v>
      </c>
      <c r="E34" s="51">
        <v>4</v>
      </c>
      <c r="F34" s="51">
        <v>5</v>
      </c>
      <c r="G34" s="51">
        <v>6</v>
      </c>
      <c r="H34" s="52" t="s">
        <v>651</v>
      </c>
      <c r="I34" s="53" t="s">
        <v>652</v>
      </c>
      <c r="J34" s="51">
        <v>1</v>
      </c>
      <c r="K34" s="51">
        <v>2</v>
      </c>
      <c r="L34" s="51">
        <v>3</v>
      </c>
      <c r="M34" s="54" t="s">
        <v>651</v>
      </c>
      <c r="N34" s="54">
        <v>1</v>
      </c>
      <c r="O34" s="51">
        <v>2</v>
      </c>
      <c r="P34" s="55" t="s">
        <v>651</v>
      </c>
    </row>
    <row r="35" spans="1:16" ht="15.75" customHeight="1">
      <c r="A35" s="40" t="s">
        <v>653</v>
      </c>
      <c r="B35" s="187">
        <f>+OLD...Tabs!D41</f>
        <v>3.8535065163520161</v>
      </c>
      <c r="C35" s="187">
        <f>+OLD...Tabs!D72</f>
        <v>0.69099614916903118</v>
      </c>
      <c r="D35" s="187">
        <f>+OLD...Tabs!D103</f>
        <v>14.275403180331567</v>
      </c>
      <c r="E35" s="187">
        <f>+OLD...Tabs!D134</f>
        <v>6.6091251346738167</v>
      </c>
      <c r="F35" s="187">
        <f>+OLD...Tabs!D164</f>
        <v>2.724789129517089</v>
      </c>
      <c r="G35" s="187">
        <f>+OLD...Tabs!D195</f>
        <v>69.963798850643371</v>
      </c>
      <c r="H35" s="199">
        <f>+OLD...Tabs!D9</f>
        <v>8.7519470132202297</v>
      </c>
      <c r="I35" s="181">
        <f>+OLD...Tabs!D257</f>
        <v>0</v>
      </c>
      <c r="J35" s="187">
        <f>+OLD...Tabs!D288</f>
        <v>14.163978696271846</v>
      </c>
      <c r="K35" s="187">
        <f>+OLD...Tabs!D319</f>
        <v>12.666057710324152</v>
      </c>
      <c r="L35" s="187">
        <f>+OLD...Tabs!D349</f>
        <v>18.076824470235572</v>
      </c>
      <c r="M35" s="192">
        <f>+OLD...Tabs!D226</f>
        <v>14.005143635493962</v>
      </c>
      <c r="N35" s="195">
        <f>+OLD...Tabs!D410</f>
        <v>10.244001260523117</v>
      </c>
      <c r="O35" s="197">
        <f>+OLD...Tabs!D440</f>
        <v>0</v>
      </c>
      <c r="P35" s="200">
        <f>+OLD...Tabs!D380</f>
        <v>7.0328074052324947</v>
      </c>
    </row>
    <row r="36" spans="1:16" ht="15.75" customHeight="1">
      <c r="A36" s="40" t="s">
        <v>654</v>
      </c>
      <c r="B36" s="187">
        <f>+OLD...Tabs!D42</f>
        <v>2.0784899874573881</v>
      </c>
      <c r="C36" s="187">
        <f>+OLD...Tabs!D73</f>
        <v>0</v>
      </c>
      <c r="D36" s="187">
        <f>+OLD...Tabs!D104</f>
        <v>13.616756939655284</v>
      </c>
      <c r="E36" s="187">
        <f>+OLD...Tabs!D135</f>
        <v>11.241105687282856</v>
      </c>
      <c r="F36" s="187">
        <f>+OLD...Tabs!D165</f>
        <v>10.793425367055825</v>
      </c>
      <c r="G36" s="187">
        <f>+OLD...Tabs!D196</f>
        <v>11.032533376238238</v>
      </c>
      <c r="H36" s="200">
        <f>+OLD...Tabs!D10</f>
        <v>10.024375428771183</v>
      </c>
      <c r="I36" s="180">
        <f>+OLD...Tabs!D258</f>
        <v>0</v>
      </c>
      <c r="J36" s="187">
        <f>+OLD...Tabs!D289</f>
        <v>29.324802139389917</v>
      </c>
      <c r="K36" s="187">
        <f>+OLD...Tabs!D320</f>
        <v>17.399872912963801</v>
      </c>
      <c r="L36" s="187">
        <f>+OLD...Tabs!D350</f>
        <v>15.647203634885868</v>
      </c>
      <c r="M36" s="192">
        <f>+OLD...Tabs!D227</f>
        <v>18.496935910311329</v>
      </c>
      <c r="N36" s="195">
        <f>+OLD...Tabs!D411</f>
        <v>0</v>
      </c>
      <c r="O36" s="197">
        <f>+OLD...Tabs!D441</f>
        <v>0</v>
      </c>
      <c r="P36" s="200">
        <f>+OLD...Tabs!D381</f>
        <v>0</v>
      </c>
    </row>
    <row r="37" spans="1:16" ht="15.75" customHeight="1">
      <c r="A37" s="40" t="s">
        <v>655</v>
      </c>
      <c r="B37" s="187">
        <f>+OLD...Tabs!D43</f>
        <v>0</v>
      </c>
      <c r="C37" s="187">
        <f>+OLD...Tabs!D74</f>
        <v>0</v>
      </c>
      <c r="D37" s="187">
        <f>+OLD...Tabs!D105</f>
        <v>0</v>
      </c>
      <c r="E37" s="187">
        <f>+OLD...Tabs!D136</f>
        <v>0</v>
      </c>
      <c r="F37" s="187">
        <f>+OLD...Tabs!D166</f>
        <v>0</v>
      </c>
      <c r="G37" s="187">
        <f>+OLD...Tabs!D197</f>
        <v>0</v>
      </c>
      <c r="H37" s="200">
        <f>+OLD...Tabs!D11</f>
        <v>0</v>
      </c>
      <c r="I37" s="180">
        <f>+OLD...Tabs!D259</f>
        <v>0</v>
      </c>
      <c r="J37" s="187">
        <f>+OLD...Tabs!D290</f>
        <v>0</v>
      </c>
      <c r="K37" s="187">
        <f>+OLD...Tabs!D321</f>
        <v>0</v>
      </c>
      <c r="L37" s="187">
        <f>+OLD...Tabs!D351</f>
        <v>0</v>
      </c>
      <c r="M37" s="192">
        <f>+OLD...Tabs!D228</f>
        <v>0</v>
      </c>
      <c r="N37" s="195">
        <f>+OLD...Tabs!D412</f>
        <v>0</v>
      </c>
      <c r="O37" s="197">
        <f>+OLD...Tabs!D442</f>
        <v>0</v>
      </c>
      <c r="P37" s="200">
        <f>+OLD...Tabs!D382</f>
        <v>0</v>
      </c>
    </row>
    <row r="38" spans="1:16" ht="15.75" customHeight="1">
      <c r="A38" s="40" t="s">
        <v>671</v>
      </c>
      <c r="B38" s="187">
        <f>+OLD...Tabs!D44</f>
        <v>18.945857366805679</v>
      </c>
      <c r="C38" s="187">
        <f>+OLD...Tabs!D75</f>
        <v>6.1283967290482479</v>
      </c>
      <c r="D38" s="187">
        <f>+OLD...Tabs!D106</f>
        <v>10.467198653057302</v>
      </c>
      <c r="E38" s="187">
        <f>+OLD...Tabs!D137</f>
        <v>17.492373743079877</v>
      </c>
      <c r="F38" s="187">
        <f>+OLD...Tabs!D167</f>
        <v>0</v>
      </c>
      <c r="G38" s="187">
        <f>+OLD...Tabs!D198</f>
        <v>0</v>
      </c>
      <c r="H38" s="200">
        <f>+OLD...Tabs!D12</f>
        <v>16.641644373468932</v>
      </c>
      <c r="I38" s="180">
        <f>+OLD...Tabs!D260</f>
        <v>16.824581514227418</v>
      </c>
      <c r="J38" s="187">
        <f>+OLD...Tabs!D291</f>
        <v>17.950277465867103</v>
      </c>
      <c r="K38" s="187">
        <f>+OLD...Tabs!D322</f>
        <v>22.12768974440781</v>
      </c>
      <c r="L38" s="187">
        <f>+OLD...Tabs!D352</f>
        <v>21.231304898314473</v>
      </c>
      <c r="M38" s="192">
        <f>+OLD...Tabs!D229</f>
        <v>17.818027974732139</v>
      </c>
      <c r="N38" s="195">
        <f>+OLD...Tabs!D413</f>
        <v>0</v>
      </c>
      <c r="O38" s="197">
        <f>+OLD...Tabs!D443</f>
        <v>0</v>
      </c>
      <c r="P38" s="200">
        <f>+OLD...Tabs!D383</f>
        <v>0</v>
      </c>
    </row>
    <row r="39" spans="1:16" ht="15.75" customHeight="1">
      <c r="B39" s="40">
        <f>+OLD...Tabs!D45</f>
        <v>0</v>
      </c>
      <c r="C39" s="40">
        <f>+OLD...Tabs!D76</f>
        <v>0</v>
      </c>
      <c r="D39" s="40">
        <f>+OLD...Tabs!D107</f>
        <v>0</v>
      </c>
      <c r="E39" s="40">
        <f>+OLD...Tabs!D138</f>
        <v>0</v>
      </c>
      <c r="F39" s="40">
        <f>+OLD...Tabs!D168</f>
        <v>0</v>
      </c>
      <c r="G39" s="40">
        <f>+OLD...Tabs!D199</f>
        <v>0</v>
      </c>
      <c r="H39" s="202">
        <f>+OLD...Tabs!D13</f>
        <v>0</v>
      </c>
      <c r="I39" s="182">
        <f>+OLD...Tabs!D261</f>
        <v>0</v>
      </c>
      <c r="J39" s="40">
        <f>+OLD...Tabs!D292</f>
        <v>0</v>
      </c>
      <c r="K39" s="40">
        <f>+OLD...Tabs!D323</f>
        <v>0</v>
      </c>
      <c r="L39" s="40">
        <f>+OLD...Tabs!D353</f>
        <v>0</v>
      </c>
      <c r="M39" s="205">
        <f>+OLD...Tabs!D230</f>
        <v>0</v>
      </c>
      <c r="N39" s="205">
        <f>+OLD...Tabs!D414</f>
        <v>0</v>
      </c>
      <c r="O39" s="40">
        <f>+OLD...Tabs!D444</f>
        <v>0</v>
      </c>
      <c r="P39" s="202">
        <f>+OLD...Tabs!D384</f>
        <v>0</v>
      </c>
    </row>
    <row r="40" spans="1:16" ht="15.75" customHeight="1">
      <c r="A40" s="40" t="s">
        <v>657</v>
      </c>
      <c r="B40" s="187">
        <f>+OLD...Tabs!D46</f>
        <v>0</v>
      </c>
      <c r="C40" s="187">
        <f>+OLD...Tabs!D77</f>
        <v>0</v>
      </c>
      <c r="D40" s="187">
        <f>+OLD...Tabs!D108</f>
        <v>0</v>
      </c>
      <c r="E40" s="187">
        <f>+OLD...Tabs!D139</f>
        <v>0</v>
      </c>
      <c r="F40" s="187">
        <f>+OLD...Tabs!D169</f>
        <v>0</v>
      </c>
      <c r="G40" s="187">
        <f>+OLD...Tabs!D200</f>
        <v>0</v>
      </c>
      <c r="H40" s="200">
        <f>+OLD...Tabs!D14</f>
        <v>0</v>
      </c>
      <c r="I40" s="180">
        <f>+OLD...Tabs!D262</f>
        <v>0</v>
      </c>
      <c r="J40" s="187">
        <f>+OLD...Tabs!D293</f>
        <v>0</v>
      </c>
      <c r="K40" s="187">
        <f>+OLD...Tabs!D324</f>
        <v>0</v>
      </c>
      <c r="L40" s="187">
        <f>+OLD...Tabs!D354</f>
        <v>0</v>
      </c>
      <c r="M40" s="192">
        <f>+OLD...Tabs!D231</f>
        <v>0</v>
      </c>
      <c r="N40" s="195">
        <f>+OLD...Tabs!D415</f>
        <v>17.54473476505364</v>
      </c>
      <c r="O40" s="197">
        <f>+OLD...Tabs!D445</f>
        <v>10.600859470727064</v>
      </c>
      <c r="P40" s="200">
        <f>+OLD...Tabs!D385</f>
        <v>17.426140248648544</v>
      </c>
    </row>
    <row r="41" spans="1:16" ht="15.75" customHeight="1">
      <c r="A41" s="40" t="s">
        <v>658</v>
      </c>
      <c r="B41" s="187">
        <f>+OLD...Tabs!D47</f>
        <v>3.183946987644942</v>
      </c>
      <c r="C41" s="187">
        <f>+OLD...Tabs!D78</f>
        <v>0</v>
      </c>
      <c r="D41" s="187">
        <f>+OLD...Tabs!D109</f>
        <v>12.771240410119391</v>
      </c>
      <c r="E41" s="187">
        <f>+OLD...Tabs!D140</f>
        <v>8.2519808574419375</v>
      </c>
      <c r="F41" s="187">
        <f>+OLD...Tabs!D170</f>
        <v>0</v>
      </c>
      <c r="G41" s="187">
        <f>+OLD...Tabs!D201</f>
        <v>0</v>
      </c>
      <c r="H41" s="200">
        <f>+OLD...Tabs!D15</f>
        <v>8.6297897566007258</v>
      </c>
      <c r="I41" s="180">
        <f>+OLD...Tabs!D263</f>
        <v>0</v>
      </c>
      <c r="J41" s="187">
        <f>+OLD...Tabs!D294</f>
        <v>20.316851375439988</v>
      </c>
      <c r="K41" s="187">
        <f>+OLD...Tabs!D325</f>
        <v>25.411826756779963</v>
      </c>
      <c r="L41" s="187">
        <f>+OLD...Tabs!D355</f>
        <v>25.801006775455672</v>
      </c>
      <c r="M41" s="192">
        <f>+OLD...Tabs!D232</f>
        <v>23.717733431741046</v>
      </c>
      <c r="N41" s="195">
        <f>+OLD...Tabs!D416</f>
        <v>5.1287388569618537</v>
      </c>
      <c r="O41" s="197">
        <f>+OLD...Tabs!D446</f>
        <v>0</v>
      </c>
      <c r="P41" s="200">
        <f>+OLD...Tabs!D386</f>
        <v>5.1287388569618537</v>
      </c>
    </row>
    <row r="42" spans="1:16" ht="15.75" customHeight="1">
      <c r="A42" s="40" t="s">
        <v>659</v>
      </c>
      <c r="B42" s="187">
        <f>+OLD...Tabs!D48</f>
        <v>0</v>
      </c>
      <c r="C42" s="187">
        <f>+OLD...Tabs!D79</f>
        <v>0</v>
      </c>
      <c r="D42" s="187">
        <f>+OLD...Tabs!D110</f>
        <v>0</v>
      </c>
      <c r="E42" s="187">
        <f>+OLD...Tabs!D141</f>
        <v>0</v>
      </c>
      <c r="F42" s="187">
        <f>+OLD...Tabs!D171</f>
        <v>0</v>
      </c>
      <c r="G42" s="187">
        <f>+OLD...Tabs!D202</f>
        <v>0</v>
      </c>
      <c r="H42" s="200">
        <f>+OLD...Tabs!D16</f>
        <v>0</v>
      </c>
      <c r="I42" s="180">
        <f>+OLD...Tabs!D264</f>
        <v>0</v>
      </c>
      <c r="J42" s="187">
        <f>+OLD...Tabs!D295</f>
        <v>0</v>
      </c>
      <c r="K42" s="187">
        <f>+OLD...Tabs!D326</f>
        <v>0</v>
      </c>
      <c r="L42" s="187">
        <f>+OLD...Tabs!D356</f>
        <v>0</v>
      </c>
      <c r="M42" s="192">
        <f>+OLD...Tabs!D233</f>
        <v>0</v>
      </c>
      <c r="N42" s="195">
        <f>+OLD...Tabs!D417</f>
        <v>0</v>
      </c>
      <c r="O42" s="197">
        <f>+OLD...Tabs!D447</f>
        <v>0</v>
      </c>
      <c r="P42" s="200">
        <f>+OLD...Tabs!D387</f>
        <v>0</v>
      </c>
    </row>
    <row r="43" spans="1:16" ht="15.75" customHeight="1">
      <c r="A43" s="40" t="s">
        <v>672</v>
      </c>
      <c r="B43" s="187">
        <f>+OLD...Tabs!D49</f>
        <v>0.90495222248963558</v>
      </c>
      <c r="C43" s="187">
        <f>+OLD...Tabs!D80</f>
        <v>4.6081105116499677</v>
      </c>
      <c r="D43" s="187">
        <f>+OLD...Tabs!D111</f>
        <v>2.7088002199735701</v>
      </c>
      <c r="E43" s="187">
        <f>+OLD...Tabs!D142</f>
        <v>7.083172766400895</v>
      </c>
      <c r="F43" s="187">
        <f>+OLD...Tabs!D172</f>
        <v>0</v>
      </c>
      <c r="G43" s="187">
        <f>+OLD...Tabs!D203</f>
        <v>0</v>
      </c>
      <c r="H43" s="200">
        <f>+OLD...Tabs!D17</f>
        <v>14.38396033793029</v>
      </c>
      <c r="I43" s="180">
        <f>+OLD...Tabs!D265</f>
        <v>0</v>
      </c>
      <c r="J43" s="187">
        <f>+OLD...Tabs!D296</f>
        <v>11.240490305438231</v>
      </c>
      <c r="K43" s="187">
        <f>+OLD...Tabs!D327</f>
        <v>14.880107251899252</v>
      </c>
      <c r="L43" s="187">
        <f>+OLD...Tabs!D357</f>
        <v>11.787289433985812</v>
      </c>
      <c r="M43" s="192">
        <f>+OLD...Tabs!D234</f>
        <v>12.572407250777307</v>
      </c>
      <c r="N43" s="195">
        <f>+OLD...Tabs!D418</f>
        <v>0</v>
      </c>
      <c r="O43" s="197">
        <f>+OLD...Tabs!D448</f>
        <v>0</v>
      </c>
      <c r="P43" s="200">
        <f>+OLD...Tabs!D388</f>
        <v>0</v>
      </c>
    </row>
    <row r="44" spans="1:16" ht="15.75" customHeight="1">
      <c r="B44" s="40">
        <f>+OLD...Tabs!D50</f>
        <v>0</v>
      </c>
      <c r="C44" s="40">
        <f>+OLD...Tabs!D81</f>
        <v>0</v>
      </c>
      <c r="D44" s="40">
        <f>+OLD...Tabs!D112</f>
        <v>0</v>
      </c>
      <c r="E44" s="40">
        <f>+OLD...Tabs!D143</f>
        <v>0</v>
      </c>
      <c r="F44" s="40">
        <f>+OLD...Tabs!D173</f>
        <v>0</v>
      </c>
      <c r="G44" s="40">
        <f>+OLD...Tabs!D204</f>
        <v>0</v>
      </c>
      <c r="H44" s="202">
        <f>+OLD...Tabs!D18</f>
        <v>0</v>
      </c>
      <c r="I44" s="182">
        <f>+OLD...Tabs!D266</f>
        <v>0</v>
      </c>
      <c r="J44" s="40">
        <f>+OLD...Tabs!D297</f>
        <v>0</v>
      </c>
      <c r="K44" s="40">
        <f>+OLD...Tabs!D328</f>
        <v>0</v>
      </c>
      <c r="L44" s="40">
        <f>+OLD...Tabs!D358</f>
        <v>0</v>
      </c>
      <c r="M44" s="205">
        <f>+OLD...Tabs!D235</f>
        <v>0</v>
      </c>
      <c r="N44" s="205">
        <f>+OLD...Tabs!D419</f>
        <v>0</v>
      </c>
      <c r="O44" s="40">
        <f>+OLD...Tabs!D449</f>
        <v>0</v>
      </c>
      <c r="P44" s="202">
        <f>+OLD...Tabs!D389</f>
        <v>0</v>
      </c>
    </row>
    <row r="45" spans="1:16" ht="15.75" customHeight="1">
      <c r="A45" s="40" t="s">
        <v>673</v>
      </c>
      <c r="B45" s="187">
        <f>+OLD...Tabs!D51</f>
        <v>6.430308176873301</v>
      </c>
      <c r="C45" s="187">
        <f>+OLD...Tabs!D82</f>
        <v>3.9948279739149992</v>
      </c>
      <c r="D45" s="187">
        <f>+OLD...Tabs!D113</f>
        <v>0</v>
      </c>
      <c r="E45" s="187">
        <f>+OLD...Tabs!D144</f>
        <v>11.203768117226375</v>
      </c>
      <c r="F45" s="187">
        <f>+OLD...Tabs!D174</f>
        <v>20.092035153276591</v>
      </c>
      <c r="G45" s="187">
        <f>+OLD...Tabs!D205</f>
        <v>0</v>
      </c>
      <c r="H45" s="200">
        <f>+OLD...Tabs!D19</f>
        <v>6.7944805557445642</v>
      </c>
      <c r="I45" s="180">
        <f>+OLD...Tabs!D267</f>
        <v>0</v>
      </c>
      <c r="J45" s="204">
        <f>+OLD...Tabs!D298</f>
        <v>17.688181750124404</v>
      </c>
      <c r="K45" s="204">
        <f>+OLD...Tabs!D329</f>
        <v>12.964983738594841</v>
      </c>
      <c r="L45" s="204">
        <f>+OLD...Tabs!D359</f>
        <v>8.1800518134715023</v>
      </c>
      <c r="M45" s="192">
        <f>+OLD...Tabs!D236</f>
        <v>14.897838431806482</v>
      </c>
      <c r="N45" s="195">
        <f>+OLD...Tabs!D420</f>
        <v>0</v>
      </c>
      <c r="O45" s="197">
        <f>+OLD...Tabs!D450</f>
        <v>0</v>
      </c>
      <c r="P45" s="200">
        <f>+OLD...Tabs!D390</f>
        <v>0</v>
      </c>
    </row>
    <row r="46" spans="1:16" ht="15.75" customHeight="1">
      <c r="A46" s="40" t="s">
        <v>662</v>
      </c>
      <c r="B46" s="187">
        <f>+OLD...Tabs!D52</f>
        <v>6.0515031263461561</v>
      </c>
      <c r="C46" s="187">
        <f>+OLD...Tabs!D83</f>
        <v>9.288356622078604</v>
      </c>
      <c r="D46" s="187">
        <f>+OLD...Tabs!D114</f>
        <v>7.5541971215900636</v>
      </c>
      <c r="E46" s="187">
        <f>+OLD...Tabs!D145</f>
        <v>10.957747205281276</v>
      </c>
      <c r="F46" s="187">
        <f>+OLD...Tabs!D175</f>
        <v>12.319702202411538</v>
      </c>
      <c r="G46" s="187">
        <f>+OLD...Tabs!D206</f>
        <v>6.8223185879950714</v>
      </c>
      <c r="H46" s="200">
        <f>+OLD...Tabs!D20</f>
        <v>7.9177854645639947</v>
      </c>
      <c r="I46" s="180">
        <f>+OLD...Tabs!D268</f>
        <v>0</v>
      </c>
      <c r="J46" s="187">
        <f>+OLD...Tabs!D299</f>
        <v>19.959764873371963</v>
      </c>
      <c r="K46" s="187">
        <f>+OLD...Tabs!D330</f>
        <v>21.825496192606884</v>
      </c>
      <c r="L46" s="187">
        <f>+OLD...Tabs!D360</f>
        <v>22.626744535421082</v>
      </c>
      <c r="M46" s="192">
        <f>+OLD...Tabs!D237</f>
        <v>21.142312116140431</v>
      </c>
      <c r="N46" s="195">
        <f>+OLD...Tabs!D421</f>
        <v>0</v>
      </c>
      <c r="O46" s="197">
        <f>+OLD...Tabs!D451</f>
        <v>0</v>
      </c>
      <c r="P46" s="200">
        <f>+OLD...Tabs!D391</f>
        <v>0</v>
      </c>
    </row>
    <row r="47" spans="1:16" ht="15.75" customHeight="1">
      <c r="A47" s="40" t="s">
        <v>663</v>
      </c>
      <c r="B47" s="187">
        <f>+OLD...Tabs!D53</f>
        <v>5.6918057173738079</v>
      </c>
      <c r="C47" s="187">
        <f>+OLD...Tabs!D84</f>
        <v>0</v>
      </c>
      <c r="D47" s="187">
        <f>+OLD...Tabs!D115</f>
        <v>8.2700029009125871</v>
      </c>
      <c r="E47" s="187">
        <f>+OLD...Tabs!D146</f>
        <v>0</v>
      </c>
      <c r="F47" s="187">
        <f>+OLD...Tabs!D176</f>
        <v>15.797898715802029</v>
      </c>
      <c r="G47" s="187">
        <f>+OLD...Tabs!D207</f>
        <v>21.666273457077455</v>
      </c>
      <c r="H47" s="200">
        <f>+OLD...Tabs!D21</f>
        <v>9.8566492376880426</v>
      </c>
      <c r="I47" s="180">
        <f>+OLD...Tabs!D269</f>
        <v>0</v>
      </c>
      <c r="J47" s="187">
        <f>+OLD...Tabs!D300</f>
        <v>18.5932649047826</v>
      </c>
      <c r="K47" s="187">
        <f>+OLD...Tabs!D331</f>
        <v>21.755741941146553</v>
      </c>
      <c r="L47" s="187">
        <f>+OLD...Tabs!D361</f>
        <v>24.402046595605722</v>
      </c>
      <c r="M47" s="192">
        <f>+OLD...Tabs!D238</f>
        <v>19.707485893614628</v>
      </c>
      <c r="N47" s="195">
        <f>+OLD...Tabs!D422</f>
        <v>0</v>
      </c>
      <c r="O47" s="197">
        <f>+OLD...Tabs!D452</f>
        <v>0</v>
      </c>
      <c r="P47" s="200">
        <f>+OLD...Tabs!D392</f>
        <v>0</v>
      </c>
    </row>
    <row r="48" spans="1:16" s="59" customFormat="1" ht="16.5" customHeight="1">
      <c r="A48" s="40" t="s">
        <v>664</v>
      </c>
      <c r="B48" s="187">
        <f>+OLD...Tabs!D54</f>
        <v>3.3950465683033269</v>
      </c>
      <c r="C48" s="187">
        <f>+OLD...Tabs!D85</f>
        <v>0</v>
      </c>
      <c r="D48" s="187">
        <f>+OLD...Tabs!D116</f>
        <v>0</v>
      </c>
      <c r="E48" s="187">
        <f>+OLD...Tabs!D147</f>
        <v>0.12922679302175319</v>
      </c>
      <c r="F48" s="187">
        <f>+OLD...Tabs!D177</f>
        <v>2.1529876455620212</v>
      </c>
      <c r="G48" s="187">
        <f>+OLD...Tabs!D208</f>
        <v>4.585374683943451</v>
      </c>
      <c r="H48" s="200">
        <f>+OLD...Tabs!D22</f>
        <v>2.5966099825897393</v>
      </c>
      <c r="I48" s="180">
        <f>+OLD...Tabs!D270</f>
        <v>0</v>
      </c>
      <c r="J48" s="187">
        <f>+OLD...Tabs!D301</f>
        <v>18.208810575406559</v>
      </c>
      <c r="K48" s="187">
        <f>+OLD...Tabs!D332</f>
        <v>17.61357748798499</v>
      </c>
      <c r="L48" s="187">
        <f>+OLD...Tabs!D362</f>
        <v>11.338801476041137</v>
      </c>
      <c r="M48" s="192">
        <f>+OLD...Tabs!D239</f>
        <v>17.252303240457255</v>
      </c>
      <c r="N48" s="195">
        <f>+OLD...Tabs!D423</f>
        <v>0</v>
      </c>
      <c r="O48" s="197">
        <f>+OLD...Tabs!D453</f>
        <v>0</v>
      </c>
      <c r="P48" s="200">
        <f>+OLD...Tabs!D393</f>
        <v>0</v>
      </c>
    </row>
    <row r="49" spans="1:16" s="59" customFormat="1" ht="14.25" customHeight="1">
      <c r="B49" s="59">
        <f>+OLD...Tabs!D55</f>
        <v>0</v>
      </c>
      <c r="C49" s="59">
        <f>+OLD...Tabs!D86</f>
        <v>0</v>
      </c>
      <c r="D49" s="59">
        <f>+OLD...Tabs!D117</f>
        <v>0</v>
      </c>
      <c r="E49" s="59">
        <f>+OLD...Tabs!D148</f>
        <v>0</v>
      </c>
      <c r="F49" s="59">
        <f>+OLD...Tabs!D178</f>
        <v>0</v>
      </c>
      <c r="G49" s="59">
        <f>+OLD...Tabs!D209</f>
        <v>0</v>
      </c>
      <c r="H49" s="203">
        <f>+OLD...Tabs!D23</f>
        <v>0</v>
      </c>
      <c r="I49" s="183">
        <f>+OLD...Tabs!D271</f>
        <v>0</v>
      </c>
      <c r="J49" s="59">
        <f>+OLD...Tabs!D302</f>
        <v>0</v>
      </c>
      <c r="K49" s="59">
        <f>+OLD...Tabs!D333</f>
        <v>0</v>
      </c>
      <c r="L49" s="59">
        <f>+OLD...Tabs!D363</f>
        <v>0</v>
      </c>
      <c r="M49" s="203">
        <f>+OLD...Tabs!D240</f>
        <v>0</v>
      </c>
      <c r="N49" s="203">
        <f>+OLD...Tabs!D424</f>
        <v>0</v>
      </c>
      <c r="O49" s="59">
        <f>+OLD...Tabs!D454</f>
        <v>0</v>
      </c>
      <c r="P49" s="203">
        <f>+OLD...Tabs!D394</f>
        <v>0</v>
      </c>
    </row>
    <row r="50" spans="1:16" s="59" customFormat="1" ht="15" customHeight="1">
      <c r="A50" s="40" t="s">
        <v>665</v>
      </c>
      <c r="B50" s="187">
        <f>+OLD...Tabs!D56</f>
        <v>12.911408373483162</v>
      </c>
      <c r="C50" s="187">
        <f>+OLD...Tabs!D87</f>
        <v>0</v>
      </c>
      <c r="D50" s="187">
        <f>+OLD...Tabs!D118</f>
        <v>12.11426046669024</v>
      </c>
      <c r="E50" s="187">
        <f>+OLD...Tabs!D149</f>
        <v>0</v>
      </c>
      <c r="F50" s="187">
        <f>+OLD...Tabs!D179</f>
        <v>4.8945273991339215</v>
      </c>
      <c r="G50" s="187">
        <f>+OLD...Tabs!D210</f>
        <v>0</v>
      </c>
      <c r="H50" s="200">
        <f>+OLD...Tabs!D24</f>
        <v>11.922023564746446</v>
      </c>
      <c r="I50" s="180">
        <f>+OLD...Tabs!D272</f>
        <v>0</v>
      </c>
      <c r="J50" s="187">
        <f>+OLD...Tabs!D303</f>
        <v>17.449352120437482</v>
      </c>
      <c r="K50" s="187">
        <f>+OLD...Tabs!D334</f>
        <v>22.950876121487156</v>
      </c>
      <c r="L50" s="187">
        <f>+OLD...Tabs!D364</f>
        <v>19.328315934288256</v>
      </c>
      <c r="M50" s="192">
        <f>+OLD...Tabs!D241</f>
        <v>20.851554496881437</v>
      </c>
      <c r="N50" s="195">
        <f>+OLD...Tabs!D425</f>
        <v>0</v>
      </c>
      <c r="O50" s="197">
        <f>+OLD...Tabs!D455</f>
        <v>0</v>
      </c>
      <c r="P50" s="200">
        <f>+OLD...Tabs!D395</f>
        <v>0</v>
      </c>
    </row>
    <row r="51" spans="1:16" s="59" customFormat="1" ht="12.75">
      <c r="A51" s="40" t="s">
        <v>666</v>
      </c>
      <c r="B51" s="187">
        <f>+OLD...Tabs!D57</f>
        <v>5.3689852158378111</v>
      </c>
      <c r="C51" s="187">
        <f>+OLD...Tabs!D88</f>
        <v>5.4764541281287622</v>
      </c>
      <c r="D51" s="187">
        <f>+OLD...Tabs!D119</f>
        <v>5.7335275443964306</v>
      </c>
      <c r="E51" s="187">
        <f>+OLD...Tabs!D150</f>
        <v>32.494728915662648</v>
      </c>
      <c r="F51" s="187">
        <f>+OLD...Tabs!D180</f>
        <v>12.623560942264081</v>
      </c>
      <c r="G51" s="187">
        <f>+OLD...Tabs!D211</f>
        <v>0</v>
      </c>
      <c r="H51" s="200">
        <f>+OLD...Tabs!D25</f>
        <v>6.0239016512809398</v>
      </c>
      <c r="I51" s="180">
        <f>+OLD...Tabs!D273</f>
        <v>15.184445579652936</v>
      </c>
      <c r="J51" s="187">
        <f>+OLD...Tabs!D304</f>
        <v>16.078784373022494</v>
      </c>
      <c r="K51" s="187">
        <f>+OLD...Tabs!D335</f>
        <v>16.691391623441831</v>
      </c>
      <c r="L51" s="187">
        <f>+OLD...Tabs!D365</f>
        <v>22.595561180247959</v>
      </c>
      <c r="M51" s="192">
        <f>+OLD...Tabs!D242</f>
        <v>16.365431001582895</v>
      </c>
      <c r="N51" s="195">
        <f>+OLD...Tabs!D426</f>
        <v>0</v>
      </c>
      <c r="O51" s="197">
        <f>+OLD...Tabs!D456</f>
        <v>0</v>
      </c>
      <c r="P51" s="200">
        <f>+OLD...Tabs!D396</f>
        <v>0</v>
      </c>
    </row>
    <row r="52" spans="1:16" s="59" customFormat="1" ht="16.5" customHeight="1">
      <c r="A52" s="40" t="s">
        <v>667</v>
      </c>
      <c r="B52" s="187">
        <f>+OLD...Tabs!D58</f>
        <v>0</v>
      </c>
      <c r="C52" s="187">
        <f>+OLD...Tabs!D89</f>
        <v>0</v>
      </c>
      <c r="D52" s="187">
        <f>+OLD...Tabs!D120</f>
        <v>0</v>
      </c>
      <c r="E52" s="187">
        <f>+OLD...Tabs!D151</f>
        <v>0</v>
      </c>
      <c r="F52" s="187">
        <f>+OLD...Tabs!D181</f>
        <v>0</v>
      </c>
      <c r="G52" s="187">
        <f>+OLD...Tabs!D212</f>
        <v>0</v>
      </c>
      <c r="H52" s="200">
        <f>+OLD...Tabs!D26</f>
        <v>0</v>
      </c>
      <c r="I52" s="180">
        <f>+OLD...Tabs!D274</f>
        <v>0</v>
      </c>
      <c r="J52" s="187">
        <f>+OLD...Tabs!D305</f>
        <v>0</v>
      </c>
      <c r="K52" s="187">
        <f>+OLD...Tabs!D336</f>
        <v>0</v>
      </c>
      <c r="L52" s="187">
        <f>+OLD...Tabs!D366</f>
        <v>0</v>
      </c>
      <c r="M52" s="192">
        <f>+OLD...Tabs!D243</f>
        <v>0</v>
      </c>
      <c r="N52" s="195">
        <f>+OLD...Tabs!D427</f>
        <v>0</v>
      </c>
      <c r="O52" s="197">
        <f>+OLD...Tabs!D457</f>
        <v>0</v>
      </c>
      <c r="P52" s="200">
        <f>+OLD...Tabs!D397</f>
        <v>0</v>
      </c>
    </row>
    <row r="53" spans="1:16" s="40" customFormat="1">
      <c r="A53" s="40" t="s">
        <v>668</v>
      </c>
      <c r="B53" s="187">
        <f>+OLD...Tabs!D59</f>
        <v>6.0504789205061877</v>
      </c>
      <c r="C53" s="187">
        <f>+OLD...Tabs!D90</f>
        <v>0</v>
      </c>
      <c r="D53" s="187">
        <f>+OLD...Tabs!D121</f>
        <v>12.324890390903132</v>
      </c>
      <c r="E53" s="187">
        <f>+OLD...Tabs!D152</f>
        <v>0</v>
      </c>
      <c r="F53" s="187">
        <f>+OLD...Tabs!D182</f>
        <v>6.5135043163663715</v>
      </c>
      <c r="G53" s="187">
        <f>+OLD...Tabs!D213</f>
        <v>8.5553866674938739</v>
      </c>
      <c r="H53" s="200">
        <f>+OLD...Tabs!D27</f>
        <v>7.8049401665055713</v>
      </c>
      <c r="I53" s="180">
        <f>+OLD...Tabs!D275</f>
        <v>16.312315895447256</v>
      </c>
      <c r="J53" s="187">
        <f>+OLD...Tabs!D306</f>
        <v>0</v>
      </c>
      <c r="K53" s="187">
        <f>+OLD...Tabs!D337</f>
        <v>0</v>
      </c>
      <c r="L53" s="187">
        <f>+OLD...Tabs!D367</f>
        <v>14.643563448050887</v>
      </c>
      <c r="M53" s="206">
        <f>+OLD...Tabs!D244</f>
        <v>15.068597227999598</v>
      </c>
      <c r="N53" s="195">
        <f>+OLD...Tabs!D428</f>
        <v>0</v>
      </c>
      <c r="O53" s="197">
        <f>+OLD...Tabs!D458</f>
        <v>0</v>
      </c>
      <c r="P53" s="200">
        <f>+OLD...Tabs!D398</f>
        <v>0</v>
      </c>
    </row>
    <row r="54" spans="1:16" ht="33.75" customHeight="1">
      <c r="A54" s="641" t="s">
        <v>674</v>
      </c>
      <c r="B54" s="642"/>
      <c r="C54" s="642"/>
      <c r="D54" s="642"/>
      <c r="E54" s="642"/>
      <c r="F54" s="642"/>
      <c r="G54" s="642"/>
      <c r="H54" s="642"/>
      <c r="I54" s="642"/>
      <c r="J54" s="642"/>
      <c r="K54" s="642"/>
      <c r="L54" s="642"/>
      <c r="M54" s="642"/>
      <c r="N54" s="642"/>
      <c r="O54" s="642"/>
      <c r="P54" s="642"/>
    </row>
    <row r="55" spans="1:16">
      <c r="A55" s="58" t="s">
        <v>675</v>
      </c>
      <c r="B55" s="59"/>
      <c r="C55" s="59"/>
      <c r="D55" s="59"/>
      <c r="E55" s="59"/>
      <c r="F55" s="59"/>
      <c r="G55" s="59"/>
      <c r="H55" s="60"/>
      <c r="I55" s="59"/>
      <c r="J55" s="59"/>
      <c r="K55" s="59"/>
      <c r="L55" s="59"/>
      <c r="M55" s="61"/>
      <c r="N55" s="59"/>
      <c r="O55" s="59"/>
      <c r="P55" s="60"/>
    </row>
    <row r="56" spans="1:16" ht="9.75" customHeight="1">
      <c r="A56" s="70"/>
      <c r="B56" s="71"/>
      <c r="C56" s="71"/>
      <c r="D56" s="71"/>
      <c r="E56" s="71"/>
      <c r="F56" s="71"/>
      <c r="G56" s="71"/>
      <c r="H56" s="72"/>
      <c r="I56" s="71"/>
      <c r="J56" s="71"/>
      <c r="K56" s="71"/>
      <c r="L56" s="71"/>
      <c r="M56" s="71"/>
      <c r="N56" s="71"/>
      <c r="O56" s="71"/>
      <c r="P56" s="72"/>
    </row>
    <row r="57" spans="1:16">
      <c r="A57" s="59"/>
      <c r="B57" s="59"/>
      <c r="C57" s="59"/>
      <c r="D57" s="59"/>
      <c r="E57" s="59"/>
      <c r="F57" s="59"/>
      <c r="G57" s="59"/>
      <c r="H57" s="60"/>
      <c r="I57" s="59"/>
      <c r="J57" s="59"/>
      <c r="K57" s="59"/>
      <c r="L57" s="59"/>
      <c r="M57" s="63"/>
      <c r="N57" s="59"/>
      <c r="O57" s="59"/>
      <c r="P57" s="64" t="s">
        <v>1034</v>
      </c>
    </row>
    <row r="58" spans="1:16" s="49" customFormat="1" ht="18">
      <c r="A58" s="31" t="s">
        <v>676</v>
      </c>
      <c r="B58" s="32"/>
      <c r="C58" s="32"/>
      <c r="D58" s="32"/>
      <c r="E58" s="32"/>
      <c r="F58" s="32"/>
      <c r="G58" s="33"/>
      <c r="H58" s="34"/>
      <c r="I58" s="73" t="s">
        <v>59</v>
      </c>
      <c r="J58" s="73"/>
      <c r="K58" s="73"/>
      <c r="L58" s="73"/>
      <c r="M58" s="74"/>
      <c r="N58"/>
      <c r="O58"/>
      <c r="P58" s="28"/>
    </row>
    <row r="59" spans="1:16" s="56" customFormat="1" ht="12.75">
      <c r="A59" s="37"/>
      <c r="B59" s="36"/>
      <c r="C59" s="36"/>
      <c r="D59" s="36"/>
      <c r="E59" s="36"/>
      <c r="F59" s="36"/>
      <c r="G59" s="36"/>
      <c r="H59" s="38"/>
      <c r="I59" s="75"/>
      <c r="J59" s="75"/>
      <c r="K59" s="75"/>
      <c r="L59" s="75"/>
      <c r="M59" s="76"/>
      <c r="N59" s="40"/>
      <c r="O59" s="40"/>
      <c r="P59" s="65"/>
    </row>
    <row r="60" spans="1:16" ht="15" customHeight="1">
      <c r="A60" s="41" t="s">
        <v>677</v>
      </c>
      <c r="B60" s="32"/>
      <c r="C60" s="32"/>
      <c r="D60" s="32"/>
      <c r="E60" s="32"/>
      <c r="F60" s="32"/>
      <c r="G60" s="33"/>
      <c r="H60" s="34"/>
      <c r="I60" s="73" t="s">
        <v>59</v>
      </c>
      <c r="J60" s="73"/>
      <c r="K60" s="73"/>
      <c r="L60" s="73"/>
      <c r="M60" s="74"/>
    </row>
    <row r="61" spans="1:16" ht="15.75" customHeight="1">
      <c r="A61" s="41" t="s">
        <v>678</v>
      </c>
      <c r="B61" s="36"/>
      <c r="C61" s="36"/>
      <c r="D61" s="36"/>
      <c r="E61" s="36"/>
      <c r="F61" s="36"/>
      <c r="G61" s="33"/>
      <c r="H61" s="34"/>
      <c r="I61" s="73" t="s">
        <v>59</v>
      </c>
      <c r="J61" s="73"/>
      <c r="K61" s="73"/>
      <c r="L61" s="73"/>
      <c r="M61" s="74"/>
    </row>
    <row r="62" spans="1:16" ht="15.75" customHeight="1">
      <c r="A62" s="41" t="s">
        <v>1004</v>
      </c>
      <c r="B62" s="36"/>
      <c r="C62" s="36"/>
      <c r="D62" s="36"/>
      <c r="E62" s="36"/>
      <c r="F62" s="36"/>
      <c r="G62" s="33"/>
      <c r="H62" s="34"/>
      <c r="I62" s="73" t="s">
        <v>59</v>
      </c>
      <c r="J62" s="73"/>
      <c r="K62" s="73"/>
      <c r="L62" s="73"/>
      <c r="M62" s="74"/>
    </row>
    <row r="63" spans="1:16" ht="15.75" customHeight="1">
      <c r="A63" s="184"/>
      <c r="B63" s="185"/>
      <c r="C63" s="185"/>
      <c r="D63" s="185"/>
      <c r="E63" s="185"/>
      <c r="F63" s="185"/>
      <c r="G63" s="185"/>
      <c r="H63" s="186"/>
      <c r="I63" s="27"/>
      <c r="J63" s="27"/>
      <c r="K63" s="27"/>
      <c r="L63" s="27"/>
    </row>
    <row r="64" spans="1:16" ht="15.75" customHeight="1">
      <c r="A64" s="45"/>
      <c r="B64" s="51" t="s">
        <v>565</v>
      </c>
      <c r="C64" s="51"/>
      <c r="D64" s="51"/>
      <c r="E64" s="51"/>
      <c r="F64" s="51"/>
      <c r="G64" s="51"/>
      <c r="H64" s="51"/>
      <c r="I64" s="69"/>
      <c r="J64" s="69"/>
      <c r="K64" s="69"/>
      <c r="L64" s="69"/>
      <c r="M64" s="69"/>
      <c r="N64" s="49"/>
      <c r="O64" s="49"/>
      <c r="P64" s="77"/>
    </row>
    <row r="65" spans="1:16" ht="15.75" customHeight="1">
      <c r="A65" s="50"/>
      <c r="B65" s="51">
        <v>1</v>
      </c>
      <c r="C65" s="51">
        <v>2</v>
      </c>
      <c r="D65" s="51">
        <v>3</v>
      </c>
      <c r="E65" s="51">
        <v>4</v>
      </c>
      <c r="F65" s="51">
        <v>5</v>
      </c>
      <c r="G65" s="51">
        <v>6</v>
      </c>
      <c r="H65" s="55" t="s">
        <v>651</v>
      </c>
      <c r="I65" s="69"/>
      <c r="J65" s="69"/>
      <c r="K65" s="69"/>
      <c r="L65" s="69"/>
      <c r="M65" s="69"/>
      <c r="N65" s="56"/>
      <c r="O65" s="56"/>
      <c r="P65" s="78"/>
    </row>
    <row r="66" spans="1:16" ht="15.75" customHeight="1">
      <c r="A66" s="40" t="s">
        <v>653</v>
      </c>
      <c r="B66" s="207">
        <f>+OLD...Tabs!J41+OLD...Tabs!K41</f>
        <v>86.931132786150741</v>
      </c>
      <c r="C66" s="207">
        <f>+OLD...Tabs!J72+OLD...Tabs!K72</f>
        <v>84.343219336833641</v>
      </c>
      <c r="D66" s="207">
        <f>+OLD...Tabs!J103+OLD...Tabs!K103</f>
        <v>73.359215946214661</v>
      </c>
      <c r="E66" s="207">
        <f>+OLD...Tabs!J134+OLD...Tabs!K134</f>
        <v>77.904354795618488</v>
      </c>
      <c r="F66" s="207">
        <f>+OLD...Tabs!J164+OLD...Tabs!K164</f>
        <v>53.519999999999996</v>
      </c>
      <c r="G66" s="207">
        <f>+OLD...Tabs!J195+OLD...Tabs!K195</f>
        <v>0</v>
      </c>
      <c r="H66" s="199">
        <f>+OLD...Tabs!J9+OLD...Tabs!K9</f>
        <v>76.15081169846566</v>
      </c>
      <c r="I66" s="79"/>
      <c r="J66" s="79"/>
      <c r="K66" s="79"/>
      <c r="L66" s="79"/>
      <c r="M66" s="79"/>
    </row>
    <row r="67" spans="1:16" ht="15.75" customHeight="1">
      <c r="A67" s="40" t="s">
        <v>654</v>
      </c>
      <c r="B67" s="208">
        <f>+OLD...Tabs!J42+OLD...Tabs!K42</f>
        <v>81.895835640713244</v>
      </c>
      <c r="C67" s="208">
        <f>+OLD...Tabs!J73+OLD...Tabs!K73</f>
        <v>0</v>
      </c>
      <c r="D67" s="208">
        <f>+OLD...Tabs!J104+OLD...Tabs!K104</f>
        <v>68.632880721242358</v>
      </c>
      <c r="E67" s="208">
        <f>+OLD...Tabs!J135+OLD...Tabs!K135</f>
        <v>84.701313644644742</v>
      </c>
      <c r="F67" s="208">
        <f>+OLD...Tabs!J165+OLD...Tabs!K165</f>
        <v>47.221951931497514</v>
      </c>
      <c r="G67" s="208">
        <f>+OLD...Tabs!J196+OLD...Tabs!K196</f>
        <v>85.250338294993227</v>
      </c>
      <c r="H67" s="200">
        <f>+OLD...Tabs!J10+OLD...Tabs!K10</f>
        <v>73.402865516678276</v>
      </c>
      <c r="I67" s="79"/>
      <c r="J67" s="79"/>
      <c r="K67" s="79"/>
      <c r="L67" s="79"/>
      <c r="M67" s="79"/>
    </row>
    <row r="68" spans="1:16" ht="15.75" customHeight="1">
      <c r="A68" s="40" t="s">
        <v>655</v>
      </c>
      <c r="B68" s="208">
        <f>+OLD...Tabs!J43+OLD...Tabs!K43</f>
        <v>0</v>
      </c>
      <c r="C68" s="208">
        <f>+OLD...Tabs!J74+OLD...Tabs!K74</f>
        <v>0</v>
      </c>
      <c r="D68" s="208">
        <f>+OLD...Tabs!J105+OLD...Tabs!K105</f>
        <v>0</v>
      </c>
      <c r="E68" s="208">
        <f>+OLD...Tabs!J136+OLD...Tabs!K136</f>
        <v>0</v>
      </c>
      <c r="F68" s="208">
        <f>+OLD...Tabs!J166+OLD...Tabs!K166</f>
        <v>0</v>
      </c>
      <c r="G68" s="208">
        <f>+OLD...Tabs!J197+OLD...Tabs!K197</f>
        <v>0</v>
      </c>
      <c r="H68" s="200">
        <f>+OLD...Tabs!J11+OLD...Tabs!K11</f>
        <v>0</v>
      </c>
      <c r="I68" s="79"/>
      <c r="J68" s="79"/>
      <c r="K68" s="79"/>
      <c r="L68" s="79"/>
      <c r="M68" s="79"/>
    </row>
    <row r="69" spans="1:16" ht="15.75" customHeight="1">
      <c r="A69" s="40" t="s">
        <v>656</v>
      </c>
      <c r="B69" s="208">
        <f>+OLD...Tabs!J44+OLD...Tabs!K44</f>
        <v>81.307256309739145</v>
      </c>
      <c r="C69" s="208">
        <f>+OLD...Tabs!J75+OLD...Tabs!K75</f>
        <v>74.649464335699918</v>
      </c>
      <c r="D69" s="208">
        <f>+OLD...Tabs!J106+OLD...Tabs!K106</f>
        <v>80.393541696466883</v>
      </c>
      <c r="E69" s="208">
        <f>+OLD...Tabs!J137+OLD...Tabs!K137</f>
        <v>59.870985706330053</v>
      </c>
      <c r="F69" s="208">
        <f>+OLD...Tabs!J167+OLD...Tabs!K167</f>
        <v>0</v>
      </c>
      <c r="G69" s="208">
        <f>+OLD...Tabs!J198+OLD...Tabs!K198</f>
        <v>0</v>
      </c>
      <c r="H69" s="200">
        <f>+OLD...Tabs!J12+OLD...Tabs!K12</f>
        <v>80.420296514163653</v>
      </c>
      <c r="I69" s="79"/>
      <c r="J69" s="79"/>
      <c r="K69" s="79"/>
      <c r="L69" s="79"/>
      <c r="M69" s="79"/>
    </row>
    <row r="70" spans="1:16" ht="15.75" customHeight="1">
      <c r="A70" s="40"/>
      <c r="B70" s="208">
        <f>+OLD...Tabs!J45+OLD...Tabs!K45</f>
        <v>0</v>
      </c>
      <c r="C70" s="208">
        <f>+OLD...Tabs!J76+OLD...Tabs!K76</f>
        <v>0</v>
      </c>
      <c r="D70" s="208">
        <f>+OLD...Tabs!J107+OLD...Tabs!K107</f>
        <v>0</v>
      </c>
      <c r="E70" s="208">
        <f>+OLD...Tabs!J138+OLD...Tabs!K138</f>
        <v>0</v>
      </c>
      <c r="F70" s="208">
        <f>+OLD...Tabs!J168+OLD...Tabs!K168</f>
        <v>0</v>
      </c>
      <c r="G70" s="208">
        <f>+OLD...Tabs!J199+OLD...Tabs!K199</f>
        <v>0</v>
      </c>
      <c r="H70" s="200">
        <f>+OLD...Tabs!J13+OLD...Tabs!K13</f>
        <v>0</v>
      </c>
      <c r="I70" s="79"/>
      <c r="J70" s="79"/>
      <c r="K70" s="79"/>
      <c r="L70" s="79"/>
      <c r="M70" s="79"/>
    </row>
    <row r="71" spans="1:16" ht="15.75" customHeight="1">
      <c r="A71" s="40" t="s">
        <v>657</v>
      </c>
      <c r="B71" s="208">
        <f>+OLD...Tabs!J46+OLD...Tabs!K46</f>
        <v>0</v>
      </c>
      <c r="C71" s="208">
        <f>+OLD...Tabs!J77+OLD...Tabs!K77</f>
        <v>0</v>
      </c>
      <c r="D71" s="208">
        <f>+OLD...Tabs!J108+OLD...Tabs!K108</f>
        <v>0</v>
      </c>
      <c r="E71" s="208">
        <f>+OLD...Tabs!J139+OLD...Tabs!K139</f>
        <v>0</v>
      </c>
      <c r="F71" s="208">
        <f>+OLD...Tabs!J169+OLD...Tabs!K169</f>
        <v>0</v>
      </c>
      <c r="G71" s="208">
        <f>+OLD...Tabs!J200+OLD...Tabs!K200</f>
        <v>0</v>
      </c>
      <c r="H71" s="200">
        <f>+OLD...Tabs!J14+OLD...Tabs!K14</f>
        <v>0</v>
      </c>
      <c r="I71" s="79"/>
      <c r="J71" s="79"/>
      <c r="K71" s="79"/>
      <c r="L71" s="79"/>
      <c r="M71" s="79"/>
    </row>
    <row r="72" spans="1:16" ht="15.75" customHeight="1">
      <c r="A72" s="40" t="s">
        <v>658</v>
      </c>
      <c r="B72" s="208">
        <f>+OLD...Tabs!J47+OLD...Tabs!K47</f>
        <v>94.617234158070275</v>
      </c>
      <c r="C72" s="208">
        <f>+OLD...Tabs!J78+OLD...Tabs!K78</f>
        <v>0</v>
      </c>
      <c r="D72" s="208">
        <f>+OLD...Tabs!J109+OLD...Tabs!K109</f>
        <v>57.774909439147265</v>
      </c>
      <c r="E72" s="208">
        <f>+OLD...Tabs!J140+OLD...Tabs!K140</f>
        <v>79.728469271427102</v>
      </c>
      <c r="F72" s="208">
        <f>+OLD...Tabs!J170+OLD...Tabs!K170</f>
        <v>0</v>
      </c>
      <c r="G72" s="208">
        <f>+OLD...Tabs!J201+OLD...Tabs!K201</f>
        <v>0</v>
      </c>
      <c r="H72" s="200">
        <f>+OLD...Tabs!J15+OLD...Tabs!K15</f>
        <v>78.666675175576017</v>
      </c>
      <c r="I72" s="79"/>
      <c r="J72" s="79"/>
      <c r="K72" s="79"/>
      <c r="L72" s="79"/>
      <c r="M72" s="79"/>
    </row>
    <row r="73" spans="1:16" ht="15.75" customHeight="1">
      <c r="A73" s="40" t="s">
        <v>659</v>
      </c>
      <c r="B73" s="208">
        <f>+OLD...Tabs!J48+OLD...Tabs!K48</f>
        <v>0</v>
      </c>
      <c r="C73" s="208">
        <f>+OLD...Tabs!J79+OLD...Tabs!K79</f>
        <v>0</v>
      </c>
      <c r="D73" s="208">
        <f>+OLD...Tabs!J110+OLD...Tabs!K110</f>
        <v>0</v>
      </c>
      <c r="E73" s="208">
        <f>+OLD...Tabs!J141+OLD...Tabs!K141</f>
        <v>0</v>
      </c>
      <c r="F73" s="208">
        <f>+OLD...Tabs!J171+OLD...Tabs!K171</f>
        <v>0</v>
      </c>
      <c r="G73" s="208">
        <f>+OLD...Tabs!J202+OLD...Tabs!K202</f>
        <v>0</v>
      </c>
      <c r="H73" s="200">
        <f>+OLD...Tabs!J16+OLD...Tabs!K16</f>
        <v>0</v>
      </c>
      <c r="I73" s="79"/>
      <c r="J73" s="79"/>
      <c r="K73" s="79"/>
      <c r="L73" s="79"/>
      <c r="M73" s="79"/>
    </row>
    <row r="74" spans="1:16" ht="15.75" customHeight="1">
      <c r="A74" s="40" t="s">
        <v>660</v>
      </c>
      <c r="B74" s="208">
        <f>+OLD...Tabs!J49+OLD...Tabs!K49</f>
        <v>96.237610976594027</v>
      </c>
      <c r="C74" s="208">
        <f>+OLD...Tabs!J80+OLD...Tabs!K80</f>
        <v>82.550141424530722</v>
      </c>
      <c r="D74" s="208">
        <f>+OLD...Tabs!J111+OLD...Tabs!K111</f>
        <v>93.326033163628097</v>
      </c>
      <c r="E74" s="208">
        <f>+OLD...Tabs!J142+OLD...Tabs!K142</f>
        <v>86.539692701664535</v>
      </c>
      <c r="F74" s="208">
        <f>+OLD...Tabs!J172+OLD...Tabs!K172</f>
        <v>0</v>
      </c>
      <c r="G74" s="208">
        <f>+OLD...Tabs!J203+OLD...Tabs!K203</f>
        <v>100</v>
      </c>
      <c r="H74" s="200">
        <f>+OLD...Tabs!J17+OLD...Tabs!K17</f>
        <v>65.005235009479605</v>
      </c>
      <c r="I74" s="79"/>
      <c r="J74" s="79"/>
      <c r="K74" s="79"/>
      <c r="L74" s="79"/>
      <c r="M74" s="79"/>
    </row>
    <row r="75" spans="1:16" ht="15.75" customHeight="1">
      <c r="A75" s="40"/>
      <c r="B75" s="208">
        <f>+OLD...Tabs!J50+OLD...Tabs!K50</f>
        <v>0</v>
      </c>
      <c r="C75" s="208">
        <f>+OLD...Tabs!J81+OLD...Tabs!K81</f>
        <v>0</v>
      </c>
      <c r="D75" s="208">
        <f>+OLD...Tabs!J112+OLD...Tabs!K112</f>
        <v>0</v>
      </c>
      <c r="E75" s="208">
        <f>+OLD...Tabs!J143+OLD...Tabs!K143</f>
        <v>0</v>
      </c>
      <c r="F75" s="208">
        <f>+OLD...Tabs!J173+OLD...Tabs!K173</f>
        <v>0</v>
      </c>
      <c r="G75" s="208">
        <f>+OLD...Tabs!J204+OLD...Tabs!K204</f>
        <v>0</v>
      </c>
      <c r="H75" s="200">
        <f>+OLD...Tabs!J18+OLD...Tabs!K18</f>
        <v>0</v>
      </c>
      <c r="I75" s="79"/>
      <c r="J75" s="79"/>
      <c r="K75" s="79"/>
      <c r="L75" s="79"/>
      <c r="M75" s="79"/>
    </row>
    <row r="76" spans="1:16" ht="15.75" customHeight="1">
      <c r="A76" s="40" t="s">
        <v>661</v>
      </c>
      <c r="B76" s="208">
        <f>+OLD...Tabs!J51+OLD...Tabs!K51</f>
        <v>80.063382074038799</v>
      </c>
      <c r="C76" s="208">
        <f>+OLD...Tabs!J82+OLD...Tabs!K82</f>
        <v>95.60275380680325</v>
      </c>
      <c r="D76" s="208">
        <f>+OLD...Tabs!J113+OLD...Tabs!K113</f>
        <v>0</v>
      </c>
      <c r="E76" s="208">
        <f>+OLD...Tabs!J144+OLD...Tabs!K144</f>
        <v>63.959803570847832</v>
      </c>
      <c r="F76" s="208">
        <f>+OLD...Tabs!J174+OLD...Tabs!K174</f>
        <v>72.331747110808976</v>
      </c>
      <c r="G76" s="208">
        <f>+OLD...Tabs!J205+OLD...Tabs!K205</f>
        <v>0</v>
      </c>
      <c r="H76" s="200">
        <f>+OLD...Tabs!J19+OLD...Tabs!K19</f>
        <v>83.266771669250176</v>
      </c>
      <c r="I76" s="79"/>
      <c r="J76" s="79"/>
      <c r="K76" s="79"/>
      <c r="L76" s="79"/>
      <c r="M76" s="79"/>
    </row>
    <row r="77" spans="1:16" ht="15.75" customHeight="1">
      <c r="A77" s="40" t="s">
        <v>662</v>
      </c>
      <c r="B77" s="208">
        <f>+OLD...Tabs!J52+OLD...Tabs!K52</f>
        <v>91.050321909180042</v>
      </c>
      <c r="C77" s="208">
        <f>+OLD...Tabs!J83+OLD...Tabs!K83</f>
        <v>85.558214838800509</v>
      </c>
      <c r="D77" s="208">
        <f>+OLD...Tabs!J114+OLD...Tabs!K114</f>
        <v>71.038520643750658</v>
      </c>
      <c r="E77" s="208">
        <f>+OLD...Tabs!J145+OLD...Tabs!K145</f>
        <v>86.484098939929311</v>
      </c>
      <c r="F77" s="208">
        <f>+OLD...Tabs!J175+OLD...Tabs!K175</f>
        <v>73.232347214967461</v>
      </c>
      <c r="G77" s="208">
        <f>+OLD...Tabs!J206+OLD...Tabs!K206</f>
        <v>80.453879941434849</v>
      </c>
      <c r="H77" s="200">
        <f>+OLD...Tabs!J20+OLD...Tabs!K20</f>
        <v>82.273496719985204</v>
      </c>
      <c r="I77" s="79"/>
      <c r="J77" s="79"/>
      <c r="K77" s="79"/>
      <c r="L77" s="79"/>
      <c r="M77" s="79"/>
    </row>
    <row r="78" spans="1:16" ht="15.75" customHeight="1">
      <c r="A78" s="40" t="s">
        <v>663</v>
      </c>
      <c r="B78" s="208">
        <f>+OLD...Tabs!J53+OLD...Tabs!K53</f>
        <v>86.604866128346799</v>
      </c>
      <c r="C78" s="208">
        <f>+OLD...Tabs!J84+OLD...Tabs!K84</f>
        <v>0</v>
      </c>
      <c r="D78" s="208">
        <f>+OLD...Tabs!J115+OLD...Tabs!K115</f>
        <v>90.740656335460343</v>
      </c>
      <c r="E78" s="208">
        <f>+OLD...Tabs!J146+OLD...Tabs!K146</f>
        <v>0</v>
      </c>
      <c r="F78" s="208">
        <f>+OLD...Tabs!J176+OLD...Tabs!K176</f>
        <v>63.970602684273608</v>
      </c>
      <c r="G78" s="208">
        <f>+OLD...Tabs!J207+OLD...Tabs!K207</f>
        <v>0</v>
      </c>
      <c r="H78" s="200">
        <f>+OLD...Tabs!J21+OLD...Tabs!K21</f>
        <v>82.650054409625</v>
      </c>
      <c r="I78" s="79"/>
      <c r="J78" s="79"/>
      <c r="K78" s="79"/>
      <c r="L78" s="79"/>
      <c r="M78" s="79"/>
    </row>
    <row r="79" spans="1:16" s="59" customFormat="1">
      <c r="A79" s="40" t="s">
        <v>664</v>
      </c>
      <c r="B79" s="208">
        <f>+OLD...Tabs!J54+OLD...Tabs!K54</f>
        <v>80.887583545978899</v>
      </c>
      <c r="C79" s="208">
        <f>+OLD...Tabs!J85+OLD...Tabs!K85</f>
        <v>0</v>
      </c>
      <c r="D79" s="208">
        <f>+OLD...Tabs!J116+OLD...Tabs!K116</f>
        <v>99.744736914335903</v>
      </c>
      <c r="E79" s="208">
        <f>+OLD...Tabs!J147+OLD...Tabs!K147</f>
        <v>96.286080821039121</v>
      </c>
      <c r="F79" s="208">
        <f>+OLD...Tabs!J177+OLD...Tabs!K177</f>
        <v>79.007001909611716</v>
      </c>
      <c r="G79" s="208">
        <f>+OLD...Tabs!J208+OLD...Tabs!K208</f>
        <v>74.490066225165563</v>
      </c>
      <c r="H79" s="200">
        <f>+OLD...Tabs!J22+OLD...Tabs!K22</f>
        <v>84.209691398149005</v>
      </c>
      <c r="I79" s="79"/>
      <c r="J79" s="79"/>
      <c r="K79" s="79"/>
      <c r="L79" s="79"/>
      <c r="M79" s="79"/>
      <c r="N79"/>
      <c r="O79"/>
      <c r="P79" s="28"/>
    </row>
    <row r="80" spans="1:16" s="59" customFormat="1" ht="27.75" customHeight="1">
      <c r="A80" s="40"/>
      <c r="B80" s="208">
        <f>+OLD...Tabs!J55+OLD...Tabs!K55</f>
        <v>0</v>
      </c>
      <c r="C80" s="208">
        <f>+OLD...Tabs!J86+OLD...Tabs!K86</f>
        <v>0</v>
      </c>
      <c r="D80" s="208">
        <f>+OLD...Tabs!J117+OLD...Tabs!K117</f>
        <v>0</v>
      </c>
      <c r="E80" s="208">
        <f>+OLD...Tabs!J148+OLD...Tabs!K148</f>
        <v>0</v>
      </c>
      <c r="F80" s="208">
        <f>+OLD...Tabs!J178+OLD...Tabs!K178</f>
        <v>0</v>
      </c>
      <c r="G80" s="208">
        <f>+OLD...Tabs!J209+OLD...Tabs!K209</f>
        <v>0</v>
      </c>
      <c r="H80" s="200">
        <f>+OLD...Tabs!J23+OLD...Tabs!K23</f>
        <v>0</v>
      </c>
      <c r="I80" s="79"/>
      <c r="J80" s="79"/>
      <c r="K80" s="79"/>
      <c r="L80" s="79"/>
      <c r="M80" s="79"/>
      <c r="N80"/>
      <c r="O80"/>
      <c r="P80" s="28"/>
    </row>
    <row r="81" spans="1:16" s="59" customFormat="1">
      <c r="A81" s="40" t="s">
        <v>665</v>
      </c>
      <c r="B81" s="208">
        <f>+OLD...Tabs!J56+OLD...Tabs!K56</f>
        <v>81.366594467113018</v>
      </c>
      <c r="C81" s="208">
        <f>+OLD...Tabs!J87+OLD...Tabs!K87</f>
        <v>0</v>
      </c>
      <c r="D81" s="208">
        <f>+OLD...Tabs!J118+OLD...Tabs!K118</f>
        <v>68.020397681414636</v>
      </c>
      <c r="E81" s="208">
        <f>+OLD...Tabs!J149+OLD...Tabs!K149</f>
        <v>0</v>
      </c>
      <c r="F81" s="208">
        <f>+OLD...Tabs!J179+OLD...Tabs!K179</f>
        <v>33.145491803278688</v>
      </c>
      <c r="G81" s="208">
        <f>+OLD...Tabs!J210+OLD...Tabs!K210</f>
        <v>0</v>
      </c>
      <c r="H81" s="200">
        <f>+OLD...Tabs!J24+OLD...Tabs!K24</f>
        <v>74.082528227504596</v>
      </c>
      <c r="I81" s="79"/>
      <c r="J81" s="79"/>
      <c r="K81" s="79"/>
      <c r="L81" s="79"/>
      <c r="M81" s="79"/>
      <c r="N81"/>
      <c r="O81"/>
      <c r="P81" s="28"/>
    </row>
    <row r="82" spans="1:16">
      <c r="A82" s="40" t="s">
        <v>666</v>
      </c>
      <c r="B82" s="208">
        <f>+OLD...Tabs!J57+OLD...Tabs!K57</f>
        <v>91.775498104667662</v>
      </c>
      <c r="C82" s="208">
        <f>+OLD...Tabs!J88+OLD...Tabs!K88</f>
        <v>74.4300501526277</v>
      </c>
      <c r="D82" s="208">
        <f>+OLD...Tabs!J119+OLD...Tabs!K119</f>
        <v>69.202317165101135</v>
      </c>
      <c r="E82" s="208">
        <f>+OLD...Tabs!J150+OLD...Tabs!K150</f>
        <v>45.722148286829224</v>
      </c>
      <c r="F82" s="208">
        <f>+OLD...Tabs!J180+OLD...Tabs!K180</f>
        <v>81.530054644808729</v>
      </c>
      <c r="G82" s="208">
        <f>+OLD...Tabs!J211+OLD...Tabs!K211</f>
        <v>95.881006864988549</v>
      </c>
      <c r="H82" s="200">
        <f>+OLD...Tabs!J25+OLD...Tabs!K25</f>
        <v>81.317475613172775</v>
      </c>
      <c r="I82" s="79"/>
      <c r="J82" s="79"/>
      <c r="K82" s="79"/>
      <c r="L82" s="79"/>
      <c r="M82" s="79"/>
    </row>
    <row r="83" spans="1:16" s="40" customFormat="1">
      <c r="A83" s="40" t="s">
        <v>667</v>
      </c>
      <c r="B83" s="208">
        <f>+OLD...Tabs!J58+OLD...Tabs!K58</f>
        <v>0</v>
      </c>
      <c r="C83" s="208">
        <f>+OLD...Tabs!J89+OLD...Tabs!K89</f>
        <v>0</v>
      </c>
      <c r="D83" s="208">
        <f>+OLD...Tabs!J120+OLD...Tabs!K120</f>
        <v>0</v>
      </c>
      <c r="E83" s="208">
        <f>+OLD...Tabs!J151+OLD...Tabs!K151</f>
        <v>0</v>
      </c>
      <c r="F83" s="208">
        <f>+OLD...Tabs!J181+OLD...Tabs!K181</f>
        <v>0</v>
      </c>
      <c r="G83" s="208">
        <f>+OLD...Tabs!J212+OLD...Tabs!K212</f>
        <v>0</v>
      </c>
      <c r="H83" s="200">
        <f>+OLD...Tabs!J26+OLD...Tabs!K26</f>
        <v>0</v>
      </c>
      <c r="I83" s="79"/>
      <c r="J83" s="79"/>
      <c r="K83" s="79"/>
      <c r="L83" s="79"/>
      <c r="M83" s="79"/>
      <c r="N83"/>
      <c r="O83"/>
      <c r="P83" s="28"/>
    </row>
    <row r="84" spans="1:16">
      <c r="A84" s="57" t="s">
        <v>668</v>
      </c>
      <c r="B84" s="188">
        <f>+OLD...Tabs!J59+OLD...Tabs!K59</f>
        <v>76.451581317928131</v>
      </c>
      <c r="C84" s="188">
        <f>+OLD...Tabs!J90+OLD...Tabs!K90</f>
        <v>0</v>
      </c>
      <c r="D84" s="188">
        <f>+OLD...Tabs!J121+OLD...Tabs!K121</f>
        <v>76.762622186350995</v>
      </c>
      <c r="E84" s="188">
        <f>+OLD...Tabs!J152+OLD...Tabs!K152</f>
        <v>0</v>
      </c>
      <c r="F84" s="188">
        <f>+OLD...Tabs!J182+OLD...Tabs!K182</f>
        <v>55.268698060941823</v>
      </c>
      <c r="G84" s="188">
        <f>+OLD...Tabs!J213+OLD...Tabs!K213</f>
        <v>51.730589335827872</v>
      </c>
      <c r="H84" s="201">
        <f>+OLD...Tabs!J27+OLD...Tabs!K27</f>
        <v>75.047967614928197</v>
      </c>
      <c r="I84" s="79"/>
      <c r="J84" s="79"/>
      <c r="K84" s="79"/>
      <c r="L84" s="79"/>
      <c r="M84" s="79"/>
    </row>
    <row r="85" spans="1:16">
      <c r="A85" s="59"/>
      <c r="B85" s="59"/>
      <c r="C85" s="59"/>
      <c r="D85" s="59"/>
      <c r="E85" s="59"/>
      <c r="F85" s="59"/>
      <c r="G85" s="59"/>
      <c r="H85" s="60"/>
      <c r="I85" s="59"/>
      <c r="J85" s="61"/>
      <c r="K85" s="59"/>
      <c r="L85" s="59"/>
      <c r="M85" s="61"/>
      <c r="N85" s="59"/>
      <c r="O85" s="59"/>
      <c r="P85" s="60"/>
    </row>
    <row r="86" spans="1:16">
      <c r="A86" s="80" t="s">
        <v>679</v>
      </c>
      <c r="B86" s="81"/>
      <c r="C86" s="81"/>
      <c r="D86" s="81"/>
      <c r="E86" s="81"/>
      <c r="F86" s="81"/>
      <c r="G86" s="81"/>
      <c r="H86" s="81"/>
      <c r="I86" s="59"/>
      <c r="J86" s="59"/>
      <c r="K86" s="59"/>
      <c r="L86" s="59"/>
      <c r="M86" s="61"/>
      <c r="N86" s="59"/>
      <c r="O86" s="59"/>
      <c r="P86" s="60"/>
    </row>
    <row r="87" spans="1:16" s="56" customFormat="1" ht="12.75">
      <c r="A87" s="59"/>
      <c r="B87" s="59"/>
      <c r="C87" s="59"/>
      <c r="D87" s="59"/>
      <c r="E87" s="59"/>
      <c r="F87" s="59"/>
      <c r="G87" s="59"/>
      <c r="H87" s="64" t="s">
        <v>1034</v>
      </c>
      <c r="I87" s="59"/>
      <c r="J87" s="59"/>
      <c r="K87" s="59"/>
      <c r="L87" s="59"/>
      <c r="M87" s="61"/>
      <c r="N87" s="59"/>
      <c r="O87" s="59"/>
      <c r="P87" s="60"/>
    </row>
    <row r="88" spans="1:16" s="56" customFormat="1" ht="18">
      <c r="A88" s="31" t="s">
        <v>680</v>
      </c>
      <c r="B88" s="32"/>
      <c r="C88" s="32"/>
      <c r="D88" s="32"/>
      <c r="E88" s="32"/>
      <c r="F88" s="32"/>
      <c r="G88" s="33"/>
      <c r="H88" s="34"/>
      <c r="I88" s="73"/>
      <c r="J88" s="73"/>
      <c r="K88" s="73"/>
      <c r="L88" s="73"/>
      <c r="M88" s="74"/>
      <c r="N88"/>
      <c r="O88"/>
      <c r="P88" s="28"/>
    </row>
    <row r="89" spans="1:16" ht="11.25" customHeight="1">
      <c r="A89" s="37"/>
      <c r="B89" s="36"/>
      <c r="C89" s="36"/>
      <c r="D89" s="36"/>
      <c r="E89" s="36"/>
      <c r="F89" s="36"/>
      <c r="G89" s="36"/>
      <c r="H89" s="38"/>
      <c r="I89" s="75"/>
      <c r="J89" s="75"/>
      <c r="K89" s="75"/>
      <c r="L89" s="75"/>
      <c r="M89" s="76"/>
      <c r="N89" s="40"/>
      <c r="O89" s="40"/>
      <c r="P89" s="65"/>
    </row>
    <row r="90" spans="1:16" ht="15.75" customHeight="1">
      <c r="A90" s="41" t="s">
        <v>681</v>
      </c>
      <c r="B90" s="32"/>
      <c r="C90" s="32"/>
      <c r="D90" s="32"/>
      <c r="E90" s="32"/>
      <c r="F90" s="32"/>
      <c r="G90" s="33"/>
      <c r="H90" s="34"/>
      <c r="I90" s="73"/>
      <c r="J90" s="73"/>
      <c r="K90" s="73"/>
      <c r="L90" s="73"/>
      <c r="M90" s="74"/>
    </row>
    <row r="91" spans="1:16" ht="15.75" customHeight="1">
      <c r="A91" s="41" t="s">
        <v>1004</v>
      </c>
      <c r="B91" s="36"/>
      <c r="C91" s="36"/>
      <c r="D91" s="36"/>
      <c r="E91" s="36"/>
      <c r="F91" s="36"/>
      <c r="G91" s="33"/>
      <c r="H91" s="34"/>
      <c r="I91" s="73"/>
      <c r="J91" s="73"/>
      <c r="K91" s="73"/>
      <c r="L91" s="73"/>
      <c r="M91" s="74"/>
    </row>
    <row r="92" spans="1:16" ht="15.75" customHeight="1">
      <c r="A92" s="82"/>
      <c r="B92" s="75"/>
      <c r="C92" s="75"/>
      <c r="D92" s="75"/>
      <c r="E92" s="75"/>
      <c r="F92" s="75"/>
      <c r="G92" s="73"/>
      <c r="H92" s="83"/>
      <c r="I92" s="73"/>
      <c r="J92" s="73"/>
      <c r="K92" s="73"/>
      <c r="L92" s="73"/>
      <c r="M92" s="74"/>
    </row>
    <row r="93" spans="1:16" ht="15.75" customHeight="1">
      <c r="A93" s="50"/>
      <c r="B93" s="51" t="s">
        <v>565</v>
      </c>
      <c r="C93" s="51"/>
      <c r="D93" s="51"/>
      <c r="E93" s="51"/>
      <c r="F93" s="51"/>
      <c r="G93" s="51"/>
      <c r="H93" s="51"/>
      <c r="I93" s="69"/>
      <c r="J93" s="69"/>
      <c r="K93" s="69"/>
      <c r="L93" s="69"/>
      <c r="M93" s="69"/>
      <c r="N93" s="69"/>
      <c r="O93" s="56"/>
      <c r="P93" s="78"/>
    </row>
    <row r="94" spans="1:16" ht="15.75" customHeight="1">
      <c r="A94" s="50"/>
      <c r="B94" s="51">
        <v>1</v>
      </c>
      <c r="C94" s="51">
        <v>2</v>
      </c>
      <c r="D94" s="51">
        <v>3</v>
      </c>
      <c r="E94" s="51">
        <v>4</v>
      </c>
      <c r="F94" s="51">
        <v>5</v>
      </c>
      <c r="G94" s="51">
        <v>6</v>
      </c>
      <c r="H94" s="55" t="s">
        <v>651</v>
      </c>
      <c r="I94" s="69"/>
      <c r="J94" s="69"/>
      <c r="K94" s="69"/>
      <c r="L94" s="69"/>
      <c r="M94" s="69"/>
      <c r="N94" s="69"/>
      <c r="O94" s="56"/>
      <c r="P94" s="78"/>
    </row>
    <row r="95" spans="1:16">
      <c r="A95" s="40" t="s">
        <v>653</v>
      </c>
      <c r="B95" s="207">
        <f>+OLD...Tabs!L41</f>
        <v>13.067390116247582</v>
      </c>
      <c r="C95" s="207">
        <f>+OLD...Tabs!L72</f>
        <v>15.65678066316636</v>
      </c>
      <c r="D95" s="207">
        <f>+OLD...Tabs!L103</f>
        <v>26.640784053785332</v>
      </c>
      <c r="E95" s="207">
        <f>+OLD...Tabs!L134</f>
        <v>22.095645204381512</v>
      </c>
      <c r="F95" s="207">
        <f>+OLD...Tabs!L164</f>
        <v>46.48</v>
      </c>
      <c r="G95" s="207">
        <f>+OLD...Tabs!L195</f>
        <v>0</v>
      </c>
      <c r="H95" s="199">
        <f>+OLD...Tabs!L9</f>
        <v>23.848552215751816</v>
      </c>
      <c r="I95" s="79"/>
      <c r="J95" s="79"/>
      <c r="K95" s="79"/>
      <c r="L95" s="79"/>
      <c r="M95" s="79"/>
      <c r="N95" s="27"/>
    </row>
    <row r="96" spans="1:16">
      <c r="A96" s="40" t="s">
        <v>654</v>
      </c>
      <c r="B96" s="208">
        <f>+OLD...Tabs!L42</f>
        <v>18.104164359286742</v>
      </c>
      <c r="C96" s="208">
        <f>+OLD...Tabs!L73</f>
        <v>0</v>
      </c>
      <c r="D96" s="208">
        <f>+OLD...Tabs!L104</f>
        <v>31.326997812986768</v>
      </c>
      <c r="E96" s="208">
        <f>+OLD...Tabs!L135</f>
        <v>15.29868635535526</v>
      </c>
      <c r="F96" s="208">
        <f>+OLD...Tabs!L165</f>
        <v>52.778048068502478</v>
      </c>
      <c r="G96" s="208">
        <f>+OLD...Tabs!L196</f>
        <v>14.749661705006767</v>
      </c>
      <c r="H96" s="200">
        <f>+OLD...Tabs!L10</f>
        <v>26.575217664096812</v>
      </c>
      <c r="I96" s="79"/>
      <c r="J96" s="79"/>
      <c r="K96" s="79"/>
      <c r="L96" s="79"/>
      <c r="M96" s="79"/>
      <c r="N96" s="27"/>
    </row>
    <row r="97" spans="1:16">
      <c r="A97" s="40" t="s">
        <v>655</v>
      </c>
      <c r="B97" s="208">
        <f>+OLD...Tabs!L43</f>
        <v>0</v>
      </c>
      <c r="C97" s="208">
        <f>+OLD...Tabs!L74</f>
        <v>0</v>
      </c>
      <c r="D97" s="208">
        <f>+OLD...Tabs!L105</f>
        <v>0</v>
      </c>
      <c r="E97" s="208">
        <f>+OLD...Tabs!L136</f>
        <v>0</v>
      </c>
      <c r="F97" s="208">
        <f>+OLD...Tabs!L166</f>
        <v>0</v>
      </c>
      <c r="G97" s="208">
        <f>+OLD...Tabs!L197</f>
        <v>0</v>
      </c>
      <c r="H97" s="200">
        <f>+OLD...Tabs!L11</f>
        <v>0</v>
      </c>
      <c r="I97" s="79"/>
      <c r="J97" s="79"/>
      <c r="K97" s="79"/>
      <c r="L97" s="79"/>
      <c r="M97" s="79"/>
      <c r="N97" s="27"/>
    </row>
    <row r="98" spans="1:16">
      <c r="A98" s="40" t="s">
        <v>671</v>
      </c>
      <c r="B98" s="208">
        <f>+OLD...Tabs!L44</f>
        <v>18.692447820688837</v>
      </c>
      <c r="C98" s="208">
        <f>+OLD...Tabs!L75</f>
        <v>25.350535664300075</v>
      </c>
      <c r="D98" s="208">
        <f>+OLD...Tabs!L106</f>
        <v>19.606458303533113</v>
      </c>
      <c r="E98" s="208">
        <f>+OLD...Tabs!L137</f>
        <v>40.129014293669947</v>
      </c>
      <c r="F98" s="208">
        <f>+OLD...Tabs!L167</f>
        <v>0</v>
      </c>
      <c r="G98" s="208">
        <f>+OLD...Tabs!L198</f>
        <v>0</v>
      </c>
      <c r="H98" s="200">
        <f>+OLD...Tabs!L12</f>
        <v>19.579458779307583</v>
      </c>
      <c r="I98" s="79"/>
      <c r="J98" s="79"/>
      <c r="K98" s="79"/>
      <c r="L98" s="79"/>
      <c r="M98" s="79"/>
      <c r="N98" s="27"/>
    </row>
    <row r="99" spans="1:16">
      <c r="A99" s="40"/>
      <c r="B99" s="208">
        <f>+OLD...Tabs!L45</f>
        <v>0</v>
      </c>
      <c r="C99" s="208">
        <f>+OLD...Tabs!L76</f>
        <v>0</v>
      </c>
      <c r="D99" s="208">
        <f>+OLD...Tabs!L107</f>
        <v>0</v>
      </c>
      <c r="E99" s="208">
        <f>+OLD...Tabs!L138</f>
        <v>0</v>
      </c>
      <c r="F99" s="208">
        <f>+OLD...Tabs!L168</f>
        <v>0</v>
      </c>
      <c r="G99" s="208">
        <f>+OLD...Tabs!L199</f>
        <v>0</v>
      </c>
      <c r="H99" s="200">
        <f>+OLD...Tabs!L13</f>
        <v>0</v>
      </c>
      <c r="I99" s="79"/>
      <c r="J99" s="79"/>
      <c r="K99" s="79"/>
      <c r="L99" s="79"/>
      <c r="M99" s="79"/>
      <c r="N99" s="27"/>
    </row>
    <row r="100" spans="1:16">
      <c r="A100" s="40" t="s">
        <v>657</v>
      </c>
      <c r="B100" s="208">
        <f>+OLD...Tabs!L46</f>
        <v>0</v>
      </c>
      <c r="C100" s="208">
        <f>+OLD...Tabs!L77</f>
        <v>0</v>
      </c>
      <c r="D100" s="208">
        <f>+OLD...Tabs!L108</f>
        <v>0</v>
      </c>
      <c r="E100" s="208">
        <f>+OLD...Tabs!L139</f>
        <v>0</v>
      </c>
      <c r="F100" s="208">
        <f>+OLD...Tabs!L169</f>
        <v>0</v>
      </c>
      <c r="G100" s="208">
        <f>+OLD...Tabs!L200</f>
        <v>0</v>
      </c>
      <c r="H100" s="200">
        <f>+OLD...Tabs!L14</f>
        <v>0</v>
      </c>
      <c r="I100" s="79"/>
      <c r="J100" s="79"/>
      <c r="K100" s="79"/>
      <c r="L100" s="79"/>
      <c r="M100" s="79"/>
      <c r="N100" s="27"/>
    </row>
    <row r="101" spans="1:16">
      <c r="A101" s="40" t="s">
        <v>658</v>
      </c>
      <c r="B101" s="208">
        <f>+OLD...Tabs!L47</f>
        <v>5.3827658419297295</v>
      </c>
      <c r="C101" s="208">
        <f>+OLD...Tabs!L78</f>
        <v>0</v>
      </c>
      <c r="D101" s="208">
        <f>+OLD...Tabs!L109</f>
        <v>42.225090560852728</v>
      </c>
      <c r="E101" s="208">
        <f>+OLD...Tabs!L140</f>
        <v>20.271530728572909</v>
      </c>
      <c r="F101" s="208">
        <f>+OLD...Tabs!L170</f>
        <v>0</v>
      </c>
      <c r="G101" s="208">
        <f>+OLD...Tabs!L201</f>
        <v>0</v>
      </c>
      <c r="H101" s="200">
        <f>+OLD...Tabs!L15</f>
        <v>21.333324824423972</v>
      </c>
      <c r="I101" s="79"/>
      <c r="J101" s="79"/>
      <c r="K101" s="79"/>
      <c r="L101" s="79"/>
      <c r="M101" s="79"/>
      <c r="N101" s="27"/>
    </row>
    <row r="102" spans="1:16">
      <c r="A102" s="40" t="s">
        <v>659</v>
      </c>
      <c r="B102" s="208">
        <f>+OLD...Tabs!L48</f>
        <v>0</v>
      </c>
      <c r="C102" s="208">
        <f>+OLD...Tabs!L79</f>
        <v>0</v>
      </c>
      <c r="D102" s="208">
        <f>+OLD...Tabs!L110</f>
        <v>0</v>
      </c>
      <c r="E102" s="208">
        <f>+OLD...Tabs!L141</f>
        <v>0</v>
      </c>
      <c r="F102" s="208">
        <f>+OLD...Tabs!L171</f>
        <v>0</v>
      </c>
      <c r="G102" s="208">
        <f>+OLD...Tabs!L202</f>
        <v>0</v>
      </c>
      <c r="H102" s="200">
        <f>+OLD...Tabs!L16</f>
        <v>0</v>
      </c>
      <c r="I102" s="79"/>
      <c r="J102" s="79"/>
      <c r="K102" s="79"/>
      <c r="L102" s="79"/>
      <c r="M102" s="79"/>
      <c r="N102" s="27"/>
    </row>
    <row r="103" spans="1:16">
      <c r="A103" s="40" t="s">
        <v>672</v>
      </c>
      <c r="B103" s="208">
        <f>+OLD...Tabs!L49</f>
        <v>3.762389023405972</v>
      </c>
      <c r="C103" s="208">
        <f>+OLD...Tabs!L80</f>
        <v>17.449858575469275</v>
      </c>
      <c r="D103" s="208">
        <f>+OLD...Tabs!L111</f>
        <v>6.6739668363719096</v>
      </c>
      <c r="E103" s="208">
        <f>+OLD...Tabs!L142</f>
        <v>13.460307298335469</v>
      </c>
      <c r="F103" s="208">
        <f>+OLD...Tabs!L172</f>
        <v>0</v>
      </c>
      <c r="G103" s="208">
        <f>+OLD...Tabs!L203</f>
        <v>0</v>
      </c>
      <c r="H103" s="200">
        <f>+OLD...Tabs!L17</f>
        <v>34.994764990520387</v>
      </c>
      <c r="I103" s="79"/>
      <c r="J103" s="79"/>
      <c r="K103" s="79"/>
      <c r="L103" s="79"/>
      <c r="M103" s="79"/>
      <c r="N103" s="27"/>
    </row>
    <row r="104" spans="1:16">
      <c r="A104" s="40"/>
      <c r="B104" s="208">
        <f>+OLD...Tabs!L50</f>
        <v>0</v>
      </c>
      <c r="C104" s="208">
        <f>+OLD...Tabs!L81</f>
        <v>0</v>
      </c>
      <c r="D104" s="208">
        <f>+OLD...Tabs!L112</f>
        <v>0</v>
      </c>
      <c r="E104" s="208">
        <f>+OLD...Tabs!L143</f>
        <v>0</v>
      </c>
      <c r="F104" s="208">
        <f>+OLD...Tabs!L173</f>
        <v>0</v>
      </c>
      <c r="G104" s="208">
        <f>+OLD...Tabs!L204</f>
        <v>0</v>
      </c>
      <c r="H104" s="200">
        <f>+OLD...Tabs!L18</f>
        <v>0</v>
      </c>
      <c r="I104" s="79"/>
      <c r="J104" s="79"/>
      <c r="K104" s="79"/>
      <c r="L104" s="79"/>
      <c r="M104" s="79"/>
      <c r="N104" s="27"/>
    </row>
    <row r="105" spans="1:16">
      <c r="A105" s="40" t="s">
        <v>661</v>
      </c>
      <c r="B105" s="208">
        <f>+OLD...Tabs!L51</f>
        <v>19.931691858030721</v>
      </c>
      <c r="C105" s="208">
        <f>+OLD...Tabs!L82</f>
        <v>4.397246193196759</v>
      </c>
      <c r="D105" s="208">
        <f>+OLD...Tabs!L113</f>
        <v>0</v>
      </c>
      <c r="E105" s="208">
        <f>+OLD...Tabs!L144</f>
        <v>36.040196429152168</v>
      </c>
      <c r="F105" s="208">
        <f>+OLD...Tabs!L174</f>
        <v>27.668252889191024</v>
      </c>
      <c r="G105" s="208">
        <f>+OLD...Tabs!L205</f>
        <v>0</v>
      </c>
      <c r="H105" s="200">
        <f>+OLD...Tabs!L19</f>
        <v>16.730734865706129</v>
      </c>
      <c r="I105" s="79"/>
      <c r="J105" s="79"/>
      <c r="K105" s="79"/>
      <c r="L105" s="79"/>
      <c r="M105" s="79"/>
      <c r="N105" s="27"/>
    </row>
    <row r="106" spans="1:16">
      <c r="A106" s="40" t="s">
        <v>662</v>
      </c>
      <c r="B106" s="208">
        <f>+OLD...Tabs!L52</f>
        <v>8.9496780908199547</v>
      </c>
      <c r="C106" s="208">
        <f>+OLD...Tabs!L83</f>
        <v>14.441785161199492</v>
      </c>
      <c r="D106" s="208">
        <f>+OLD...Tabs!L114</f>
        <v>28.961479356249342</v>
      </c>
      <c r="E106" s="208">
        <f>+OLD...Tabs!L145</f>
        <v>13.51590106007067</v>
      </c>
      <c r="F106" s="208">
        <f>+OLD...Tabs!L175</f>
        <v>26.767652785032528</v>
      </c>
      <c r="G106" s="208">
        <f>+OLD...Tabs!L206</f>
        <v>19.546120058565151</v>
      </c>
      <c r="H106" s="200">
        <f>+OLD...Tabs!L20</f>
        <v>17.726503280014793</v>
      </c>
      <c r="I106" s="79"/>
      <c r="J106" s="79"/>
      <c r="K106" s="79"/>
      <c r="L106" s="79"/>
      <c r="M106" s="79"/>
      <c r="N106" s="27"/>
    </row>
    <row r="107" spans="1:16">
      <c r="A107" s="40" t="s">
        <v>663</v>
      </c>
      <c r="B107" s="208">
        <f>+OLD...Tabs!L53</f>
        <v>13.207872928176796</v>
      </c>
      <c r="C107" s="208">
        <f>+OLD...Tabs!L84</f>
        <v>0</v>
      </c>
      <c r="D107" s="208">
        <f>+OLD...Tabs!L115</f>
        <v>9.259343664539653</v>
      </c>
      <c r="E107" s="208">
        <f>+OLD...Tabs!L146</f>
        <v>0</v>
      </c>
      <c r="F107" s="208">
        <f>+OLD...Tabs!L176</f>
        <v>36.029397315726385</v>
      </c>
      <c r="G107" s="208">
        <f>+OLD...Tabs!L207</f>
        <v>0</v>
      </c>
      <c r="H107" s="200">
        <f>+OLD...Tabs!L21</f>
        <v>17.235012899360534</v>
      </c>
      <c r="I107" s="79"/>
      <c r="J107" s="79"/>
      <c r="K107" s="79"/>
      <c r="L107" s="79"/>
      <c r="M107" s="79"/>
      <c r="N107" s="27"/>
    </row>
    <row r="108" spans="1:16" s="59" customFormat="1">
      <c r="A108" s="40" t="s">
        <v>664</v>
      </c>
      <c r="B108" s="208">
        <f>+OLD...Tabs!L54</f>
        <v>19.112416454021094</v>
      </c>
      <c r="C108" s="208">
        <f>+OLD...Tabs!L85</f>
        <v>0</v>
      </c>
      <c r="D108" s="208">
        <f>+OLD...Tabs!L116</f>
        <v>0.25526308566409578</v>
      </c>
      <c r="E108" s="208">
        <f>+OLD...Tabs!L147</f>
        <v>3.7139191789608721</v>
      </c>
      <c r="F108" s="208">
        <f>+OLD...Tabs!L177</f>
        <v>20.992998090388287</v>
      </c>
      <c r="G108" s="208">
        <f>+OLD...Tabs!L208</f>
        <v>25.50993377483444</v>
      </c>
      <c r="H108" s="200">
        <f>+OLD...Tabs!L22</f>
        <v>15.790308601850992</v>
      </c>
      <c r="I108" s="79"/>
      <c r="J108" s="79"/>
      <c r="K108" s="79"/>
      <c r="L108" s="79"/>
      <c r="M108" s="79"/>
      <c r="N108" s="27"/>
      <c r="O108"/>
      <c r="P108" s="28"/>
    </row>
    <row r="109" spans="1:16" s="59" customFormat="1">
      <c r="A109" s="40"/>
      <c r="B109" s="208">
        <f>+OLD...Tabs!L55</f>
        <v>0</v>
      </c>
      <c r="C109" s="208">
        <f>+OLD...Tabs!L86</f>
        <v>0</v>
      </c>
      <c r="D109" s="208">
        <f>+OLD...Tabs!L117</f>
        <v>0</v>
      </c>
      <c r="E109" s="208">
        <f>+OLD...Tabs!L148</f>
        <v>0</v>
      </c>
      <c r="F109" s="208">
        <f>+OLD...Tabs!L178</f>
        <v>0</v>
      </c>
      <c r="G109" s="208">
        <f>+OLD...Tabs!L209</f>
        <v>0</v>
      </c>
      <c r="H109" s="200">
        <f>+OLD...Tabs!L23</f>
        <v>0</v>
      </c>
      <c r="I109" s="79"/>
      <c r="J109" s="79"/>
      <c r="K109" s="79"/>
      <c r="L109" s="79"/>
      <c r="M109" s="79"/>
      <c r="N109" s="27"/>
      <c r="O109"/>
      <c r="P109" s="28"/>
    </row>
    <row r="110" spans="1:16" s="59" customFormat="1">
      <c r="A110" s="40" t="s">
        <v>665</v>
      </c>
      <c r="B110" s="208">
        <f>+OLD...Tabs!L56</f>
        <v>15.568460471977858</v>
      </c>
      <c r="C110" s="208">
        <f>+OLD...Tabs!L87</f>
        <v>0</v>
      </c>
      <c r="D110" s="208">
        <f>+OLD...Tabs!L118</f>
        <v>24.589373499785122</v>
      </c>
      <c r="E110" s="208">
        <f>+OLD...Tabs!L149</f>
        <v>0</v>
      </c>
      <c r="F110" s="208">
        <f>+OLD...Tabs!L179</f>
        <v>66.649590163934434</v>
      </c>
      <c r="G110" s="208">
        <f>+OLD...Tabs!L210</f>
        <v>0</v>
      </c>
      <c r="H110" s="200">
        <f>+OLD...Tabs!L24</f>
        <v>20.85159721201217</v>
      </c>
      <c r="I110" s="79"/>
      <c r="J110" s="79"/>
      <c r="K110" s="79"/>
      <c r="L110" s="79"/>
      <c r="M110" s="79"/>
      <c r="N110" s="27"/>
      <c r="O110"/>
      <c r="P110" s="28"/>
    </row>
    <row r="111" spans="1:16" s="59" customFormat="1">
      <c r="A111" s="40" t="s">
        <v>666</v>
      </c>
      <c r="B111" s="208">
        <f>+OLD...Tabs!L57</f>
        <v>8.2245018953323363</v>
      </c>
      <c r="C111" s="208">
        <f>+OLD...Tabs!L88</f>
        <v>25.569949847372289</v>
      </c>
      <c r="D111" s="208">
        <f>+OLD...Tabs!L119</f>
        <v>30.797682834898858</v>
      </c>
      <c r="E111" s="208">
        <f>+OLD...Tabs!L150</f>
        <v>54.277851713170776</v>
      </c>
      <c r="F111" s="208">
        <f>+OLD...Tabs!L180</f>
        <v>18.469945355191257</v>
      </c>
      <c r="G111" s="208">
        <f>+OLD...Tabs!L211</f>
        <v>4.1189931350114417</v>
      </c>
      <c r="H111" s="200">
        <f>+OLD...Tabs!L25</f>
        <v>18.682524386827229</v>
      </c>
      <c r="I111" s="79"/>
      <c r="J111" s="79"/>
      <c r="K111" s="79"/>
      <c r="L111" s="79"/>
      <c r="M111" s="79"/>
      <c r="N111" s="27"/>
      <c r="O111"/>
      <c r="P111" s="28"/>
    </row>
    <row r="112" spans="1:16">
      <c r="A112" s="40" t="s">
        <v>667</v>
      </c>
      <c r="B112" s="208">
        <f>+OLD...Tabs!L58</f>
        <v>0</v>
      </c>
      <c r="C112" s="208">
        <f>+OLD...Tabs!L89</f>
        <v>0</v>
      </c>
      <c r="D112" s="208">
        <f>+OLD...Tabs!L120</f>
        <v>0</v>
      </c>
      <c r="E112" s="208">
        <f>+OLD...Tabs!L151</f>
        <v>0</v>
      </c>
      <c r="F112" s="208">
        <f>+OLD...Tabs!L181</f>
        <v>0</v>
      </c>
      <c r="G112" s="208">
        <f>+OLD...Tabs!L212</f>
        <v>0</v>
      </c>
      <c r="H112" s="200">
        <f>+OLD...Tabs!L26</f>
        <v>0</v>
      </c>
      <c r="I112" s="79"/>
      <c r="J112" s="79"/>
      <c r="K112" s="79"/>
      <c r="L112" s="79"/>
      <c r="M112" s="79"/>
      <c r="N112" s="27"/>
    </row>
    <row r="113" spans="1:16">
      <c r="A113" s="57" t="s">
        <v>668</v>
      </c>
      <c r="B113" s="188">
        <f>+OLD...Tabs!L59</f>
        <v>23.548418682071869</v>
      </c>
      <c r="C113" s="188">
        <f>+OLD...Tabs!L90</f>
        <v>0</v>
      </c>
      <c r="D113" s="188">
        <f>+OLD...Tabs!L121</f>
        <v>23.237377813648997</v>
      </c>
      <c r="E113" s="188">
        <f>+OLD...Tabs!L152</f>
        <v>0</v>
      </c>
      <c r="F113" s="188">
        <f>+OLD...Tabs!L182</f>
        <v>44.73130193905817</v>
      </c>
      <c r="G113" s="188">
        <f>+OLD...Tabs!L213</f>
        <v>48.269410664172128</v>
      </c>
      <c r="H113" s="201">
        <f>+OLD...Tabs!L27</f>
        <v>24.95203238507181</v>
      </c>
      <c r="I113" s="79"/>
      <c r="J113" s="79"/>
      <c r="K113" s="79"/>
      <c r="L113" s="79"/>
      <c r="M113" s="79"/>
      <c r="N113" s="27"/>
      <c r="O113" s="27"/>
      <c r="P113" s="209"/>
    </row>
    <row r="114" spans="1:16" ht="30.75" customHeight="1">
      <c r="A114" s="635" t="s">
        <v>682</v>
      </c>
      <c r="B114" s="636"/>
      <c r="C114" s="636"/>
      <c r="D114" s="636"/>
      <c r="E114" s="636"/>
      <c r="F114" s="636"/>
      <c r="G114" s="636"/>
      <c r="H114" s="636"/>
      <c r="I114" s="210"/>
      <c r="J114" s="210"/>
      <c r="K114" s="210"/>
      <c r="L114" s="210"/>
      <c r="M114" s="210"/>
      <c r="N114" s="210"/>
      <c r="O114" s="210"/>
      <c r="P114" s="210"/>
    </row>
    <row r="115" spans="1:16">
      <c r="A115" s="80" t="s">
        <v>675</v>
      </c>
      <c r="B115" s="85"/>
      <c r="C115" s="85"/>
      <c r="D115" s="85"/>
      <c r="E115" s="85"/>
      <c r="F115" s="85"/>
      <c r="G115" s="85"/>
      <c r="H115" s="85"/>
      <c r="I115" s="61"/>
      <c r="J115" s="61"/>
      <c r="K115" s="61"/>
      <c r="L115" s="61"/>
      <c r="M115" s="61"/>
      <c r="N115" s="61"/>
      <c r="O115" s="59"/>
      <c r="P115" s="60"/>
    </row>
    <row r="116" spans="1:16">
      <c r="A116" s="70"/>
      <c r="B116" s="71"/>
      <c r="C116" s="71"/>
      <c r="D116" s="71"/>
      <c r="E116" s="71"/>
      <c r="F116" s="71"/>
      <c r="G116" s="71"/>
      <c r="H116" s="72"/>
      <c r="I116" s="71"/>
      <c r="J116" s="71"/>
      <c r="K116" s="71"/>
      <c r="L116" s="71"/>
      <c r="M116" s="71"/>
      <c r="N116" s="71"/>
      <c r="O116" s="71"/>
      <c r="P116" s="72"/>
    </row>
    <row r="117" spans="1:16">
      <c r="A117" s="59"/>
      <c r="B117" s="59"/>
      <c r="C117" s="59"/>
      <c r="D117" s="59"/>
      <c r="E117" s="59"/>
      <c r="F117" s="59"/>
      <c r="G117" s="59"/>
      <c r="H117" s="64" t="s">
        <v>1034</v>
      </c>
      <c r="I117" s="61"/>
      <c r="J117" s="61"/>
      <c r="K117" s="61"/>
      <c r="L117" s="61"/>
      <c r="M117" s="61"/>
      <c r="N117" s="61"/>
      <c r="O117" s="59"/>
      <c r="P117" s="60"/>
    </row>
  </sheetData>
  <mergeCells count="6">
    <mergeCell ref="A114:H114"/>
    <mergeCell ref="B5:H5"/>
    <mergeCell ref="I5:M5"/>
    <mergeCell ref="A29:P29"/>
    <mergeCell ref="A31:P31"/>
    <mergeCell ref="A54:P54"/>
  </mergeCells>
  <pageMargins left="0.7" right="0.7" top="0.75" bottom="0.75" header="0.3" footer="0.3"/>
  <pageSetup firstPageNumber="87" orientation="landscape" useFirstPageNumber="1" r:id="rId1"/>
  <headerFooter>
    <oddFooter>&amp;CC-&amp;P&amp;RJanuary 2012</oddFooter>
  </headerFooter>
  <rowBreaks count="3" manualBreakCount="3">
    <brk id="28" max="15" man="1"/>
    <brk id="57" max="15" man="1"/>
    <brk id="87" max="15" man="1"/>
  </rowBreaks>
  <legacyDrawing r:id="rId2"/>
</worksheet>
</file>

<file path=xl/worksheets/sheet3.xml><?xml version="1.0" encoding="utf-8"?>
<worksheet xmlns="http://schemas.openxmlformats.org/spreadsheetml/2006/main" xmlns:r="http://schemas.openxmlformats.org/officeDocument/2006/relationships">
  <sheetPr>
    <tabColor rgb="FFC00000"/>
  </sheetPr>
  <dimension ref="A1:AO532"/>
  <sheetViews>
    <sheetView showGridLines="0" showZeros="0" view="pageBreakPreview" topLeftCell="A188" zoomScaleNormal="100" zoomScaleSheetLayoutView="100" workbookViewId="0">
      <selection activeCell="H461" sqref="H461"/>
    </sheetView>
  </sheetViews>
  <sheetFormatPr defaultRowHeight="12.75"/>
  <cols>
    <col min="1" max="1" width="13.42578125" style="65" customWidth="1"/>
    <col min="2" max="2" width="9.140625" style="65" customWidth="1"/>
    <col min="3" max="3" width="9.42578125" style="65" bestFit="1" customWidth="1"/>
    <col min="4" max="4" width="9.85546875" style="65" bestFit="1" customWidth="1"/>
    <col min="5" max="5" width="5.7109375" style="65" bestFit="1" customWidth="1"/>
    <col min="6" max="6" width="11.42578125" style="65" customWidth="1"/>
    <col min="7" max="7" width="7.85546875" style="65" bestFit="1" customWidth="1"/>
    <col min="8" max="8" width="12.28515625" style="118" bestFit="1" customWidth="1"/>
    <col min="9" max="9" width="13" style="151" customWidth="1"/>
    <col min="10" max="11" width="9" style="65" customWidth="1"/>
    <col min="12" max="12" width="10" style="65" bestFit="1" customWidth="1"/>
    <col min="13" max="13" width="6.42578125" style="65" bestFit="1" customWidth="1"/>
    <col min="14" max="14" width="11.28515625" style="65" customWidth="1"/>
    <col min="15" max="15" width="7.85546875" style="65" bestFit="1" customWidth="1"/>
    <col min="16" max="16" width="12.28515625" style="65" bestFit="1" customWidth="1"/>
    <col min="17" max="17" width="11.5703125" style="155" bestFit="1" customWidth="1"/>
    <col min="18" max="18" width="11.5703125" style="157" bestFit="1" customWidth="1"/>
    <col min="19" max="16384" width="9.140625" style="154"/>
  </cols>
  <sheetData>
    <row r="1" spans="1:41" ht="18">
      <c r="A1" s="31" t="s">
        <v>1011</v>
      </c>
      <c r="B1" s="86"/>
      <c r="C1" s="86"/>
      <c r="D1" s="86"/>
      <c r="E1" s="86"/>
      <c r="F1" s="86"/>
      <c r="G1" s="86"/>
      <c r="H1" s="87"/>
      <c r="I1" s="31" t="s">
        <v>1026</v>
      </c>
      <c r="J1" s="38"/>
      <c r="K1" s="38"/>
      <c r="L1" s="86"/>
      <c r="M1" s="38"/>
      <c r="N1" s="38"/>
      <c r="O1" s="38"/>
      <c r="P1" s="38"/>
      <c r="Q1" s="152"/>
      <c r="R1" s="153"/>
    </row>
    <row r="2" spans="1:41" ht="15">
      <c r="A2" s="37"/>
      <c r="B2" s="38"/>
      <c r="C2" s="38"/>
      <c r="D2" s="38"/>
      <c r="E2" s="38"/>
      <c r="F2" s="38"/>
      <c r="G2" s="38"/>
      <c r="H2" s="88"/>
      <c r="I2" s="37"/>
      <c r="J2" s="38"/>
      <c r="K2" s="38"/>
      <c r="L2" s="38"/>
      <c r="M2" s="38"/>
      <c r="N2" s="38"/>
      <c r="O2" s="38"/>
      <c r="P2" s="38"/>
      <c r="Q2" s="645"/>
      <c r="R2" s="646"/>
      <c r="S2" s="646"/>
      <c r="T2" s="646"/>
      <c r="U2" s="646"/>
      <c r="V2" s="646"/>
      <c r="W2" s="646"/>
      <c r="X2" s="646"/>
    </row>
    <row r="3" spans="1:41" ht="15.75">
      <c r="A3" s="89" t="s">
        <v>683</v>
      </c>
      <c r="B3" s="38"/>
      <c r="C3" s="38"/>
      <c r="D3" s="38"/>
      <c r="E3" s="38"/>
      <c r="F3" s="38"/>
      <c r="G3" s="38"/>
      <c r="H3" s="88"/>
      <c r="I3" s="89" t="s">
        <v>684</v>
      </c>
      <c r="J3" s="38"/>
      <c r="K3" s="38"/>
      <c r="L3" s="38"/>
      <c r="M3" s="38"/>
      <c r="N3" s="38"/>
      <c r="O3" s="38"/>
      <c r="P3" s="38"/>
      <c r="R3" s="156" t="s">
        <v>59</v>
      </c>
    </row>
    <row r="4" spans="1:41" ht="15.75">
      <c r="A4" s="89" t="s">
        <v>988</v>
      </c>
      <c r="B4" s="38"/>
      <c r="C4" s="38"/>
      <c r="D4" s="38"/>
      <c r="E4" s="38"/>
      <c r="F4" s="38"/>
      <c r="G4" s="38"/>
      <c r="H4" s="88"/>
      <c r="I4" s="89" t="s">
        <v>988</v>
      </c>
      <c r="J4" s="38"/>
      <c r="K4" s="38"/>
      <c r="L4" s="38"/>
      <c r="M4" s="38"/>
      <c r="N4" s="38"/>
      <c r="O4" s="38"/>
      <c r="P4" s="38"/>
      <c r="R4" s="156" t="s">
        <v>59</v>
      </c>
    </row>
    <row r="5" spans="1:41">
      <c r="A5" s="91"/>
      <c r="B5" s="92"/>
      <c r="C5" s="92"/>
      <c r="D5" s="92"/>
      <c r="E5" s="92"/>
      <c r="F5" s="92"/>
      <c r="G5" s="92"/>
      <c r="H5" s="92"/>
      <c r="I5" s="93"/>
      <c r="L5" s="94"/>
      <c r="P5" s="91"/>
    </row>
    <row r="6" spans="1:41" s="100" customFormat="1" ht="12">
      <c r="A6" s="95"/>
      <c r="B6" s="96" t="s">
        <v>685</v>
      </c>
      <c r="C6" s="96"/>
      <c r="D6" s="96"/>
      <c r="E6" s="96"/>
      <c r="F6" s="96"/>
      <c r="G6" s="96"/>
      <c r="H6" s="97"/>
      <c r="I6" s="95"/>
      <c r="J6" s="96" t="s">
        <v>685</v>
      </c>
      <c r="K6" s="96"/>
      <c r="L6" s="96"/>
      <c r="M6" s="96"/>
      <c r="N6" s="96"/>
      <c r="O6" s="96"/>
      <c r="P6" s="97"/>
      <c r="Q6" s="98"/>
      <c r="R6" s="99"/>
    </row>
    <row r="7" spans="1:41" s="100" customFormat="1" ht="12">
      <c r="A7" s="95"/>
      <c r="B7" s="96" t="s">
        <v>686</v>
      </c>
      <c r="C7" s="96"/>
      <c r="D7" s="647" t="s">
        <v>687</v>
      </c>
      <c r="E7" s="648"/>
      <c r="F7" s="648"/>
      <c r="G7" s="648"/>
      <c r="H7" s="101" t="s">
        <v>59</v>
      </c>
      <c r="I7" s="95"/>
      <c r="J7" s="96" t="s">
        <v>686</v>
      </c>
      <c r="K7" s="96"/>
      <c r="L7" s="647" t="s">
        <v>687</v>
      </c>
      <c r="M7" s="648"/>
      <c r="N7" s="648"/>
      <c r="O7" s="648"/>
      <c r="P7" s="101" t="s">
        <v>59</v>
      </c>
      <c r="Q7" s="98"/>
      <c r="R7" s="99"/>
    </row>
    <row r="8" spans="1:41" s="100" customFormat="1" ht="40.5" customHeight="1">
      <c r="A8" s="95"/>
      <c r="B8" s="102" t="s">
        <v>688</v>
      </c>
      <c r="C8" s="103" t="s">
        <v>689</v>
      </c>
      <c r="D8" s="104" t="s">
        <v>690</v>
      </c>
      <c r="E8" s="105" t="s">
        <v>9</v>
      </c>
      <c r="F8" s="102" t="s">
        <v>691</v>
      </c>
      <c r="G8" s="106" t="s">
        <v>692</v>
      </c>
      <c r="H8" s="107" t="s">
        <v>693</v>
      </c>
      <c r="I8" s="95"/>
      <c r="J8" s="102" t="s">
        <v>688</v>
      </c>
      <c r="K8" s="103" t="s">
        <v>689</v>
      </c>
      <c r="L8" s="104" t="s">
        <v>690</v>
      </c>
      <c r="M8" s="105" t="s">
        <v>9</v>
      </c>
      <c r="N8" s="102" t="s">
        <v>691</v>
      </c>
      <c r="O8" s="106" t="s">
        <v>692</v>
      </c>
      <c r="P8" s="107" t="s">
        <v>693</v>
      </c>
      <c r="Q8" s="131" t="s">
        <v>694</v>
      </c>
      <c r="R8" s="131" t="s">
        <v>694</v>
      </c>
      <c r="T8" s="131"/>
    </row>
    <row r="9" spans="1:41" ht="15.75" customHeight="1">
      <c r="A9" s="110" t="s">
        <v>653</v>
      </c>
      <c r="B9" s="144">
        <f>('Pivot Table for Data Exchange'!$J$7)*100</f>
        <v>89.402747127563075</v>
      </c>
      <c r="C9" s="111">
        <f>('Pivot Table for Data Exchange'!$J$10)*100</f>
        <v>0.59790211261551818</v>
      </c>
      <c r="D9" s="173">
        <f>SUM(E9:G9)</f>
        <v>9.9991704153273595</v>
      </c>
      <c r="E9" s="111">
        <f>('Pivot Table for Data Exchange'!$J$13)*100</f>
        <v>9.7100781913611378</v>
      </c>
      <c r="F9" s="111">
        <f>('Pivot Table for Data Exchange'!$J$16)*100</f>
        <v>9.5792983757573724E-2</v>
      </c>
      <c r="G9" s="113">
        <f>('Pivot Table for Data Exchange'!$J$19)*100</f>
        <v>0.19329924020864656</v>
      </c>
      <c r="H9" s="114">
        <f>('Pivot Table for Data Exchange'!$J$22)*100</f>
        <v>1.8034449405253915E-4</v>
      </c>
      <c r="I9" s="115" t="s">
        <v>653</v>
      </c>
      <c r="J9" s="111">
        <f>('Pivot Table for Data Exchange'!$J$25)*100</f>
        <v>72.373852137428614</v>
      </c>
      <c r="K9" s="111">
        <f>('Pivot Table for Data Exchange'!$J$28)*100</f>
        <v>3.1759304176134671</v>
      </c>
      <c r="L9" s="112">
        <f>SUM(M9:O9)</f>
        <v>24.450217444957914</v>
      </c>
      <c r="M9" s="111">
        <f>('Pivot Table for Data Exchange'!$J$31)*100</f>
        <v>21.476625730844844</v>
      </c>
      <c r="N9" s="111">
        <f>('Pivot Table for Data Exchange'!$J$34)*100</f>
        <v>0.22595552378277631</v>
      </c>
      <c r="O9" s="113">
        <f>('Pivot Table for Data Exchange'!$J$37)*100</f>
        <v>2.747636190330295</v>
      </c>
      <c r="P9" s="111">
        <f>('Pivot Table for Data Exchange'!$J$40)*100</f>
        <v>0</v>
      </c>
      <c r="Q9" s="160">
        <f>SUM(B9,C9,D9,H9)</f>
        <v>100</v>
      </c>
      <c r="R9" s="160">
        <f>SUM(J9,K9,L9,P9)</f>
        <v>100</v>
      </c>
      <c r="S9" s="161"/>
      <c r="T9" s="162"/>
      <c r="U9" s="162"/>
      <c r="V9" s="162"/>
      <c r="W9" s="162"/>
      <c r="X9" s="162"/>
      <c r="Y9" s="162"/>
      <c r="Z9" s="162"/>
      <c r="AA9" s="162"/>
      <c r="AB9" s="162"/>
      <c r="AC9" s="162"/>
      <c r="AD9" s="162"/>
      <c r="AE9" s="162"/>
      <c r="AF9" s="161"/>
      <c r="AG9" s="161"/>
      <c r="AH9" s="161"/>
      <c r="AI9" s="161"/>
      <c r="AJ9" s="161"/>
      <c r="AK9" s="161"/>
      <c r="AL9" s="161"/>
      <c r="AM9" s="161"/>
      <c r="AN9" s="161"/>
      <c r="AO9" s="161"/>
    </row>
    <row r="10" spans="1:41" ht="15.75" customHeight="1">
      <c r="A10" s="118" t="s">
        <v>654</v>
      </c>
      <c r="B10" s="111">
        <f>('Pivot Table for Data Exchange'!$J$43)*100</f>
        <v>84.734226328315813</v>
      </c>
      <c r="C10" s="111">
        <f>('Pivot Table for Data Exchange'!$J$46)*100</f>
        <v>4.2175477231240022</v>
      </c>
      <c r="D10" s="173">
        <f t="shared" ref="D10:D26" si="0">SUM(E10:G10)</f>
        <v>11.0130633920615</v>
      </c>
      <c r="E10" s="111">
        <f>('Pivot Table for Data Exchange'!$J$49)*100</f>
        <v>9.8470730185648261</v>
      </c>
      <c r="F10" s="111">
        <f>('Pivot Table for Data Exchange'!$J$52)*100</f>
        <v>1.0459353591654219</v>
      </c>
      <c r="G10" s="119">
        <f>('Pivot Table for Data Exchange'!$J$55)*100</f>
        <v>0.12005501433125339</v>
      </c>
      <c r="H10" s="120">
        <f>('Pivot Table for Data Exchange'!$J$58)*100</f>
        <v>3.5162556498693459E-2</v>
      </c>
      <c r="I10" s="118" t="s">
        <v>654</v>
      </c>
      <c r="J10" s="111">
        <f>('Pivot Table for Data Exchange'!$J$61)*100</f>
        <v>56.73971517178844</v>
      </c>
      <c r="K10" s="111">
        <f>('Pivot Table for Data Exchange'!$J$64)*100</f>
        <v>8.1406158324253077</v>
      </c>
      <c r="L10" s="112">
        <f t="shared" ref="L10:L26" si="1">SUM(M10:O10)</f>
        <v>35.119668995786249</v>
      </c>
      <c r="M10" s="111">
        <f>('Pivot Table for Data Exchange'!$J$67)*100</f>
        <v>31.589414570586037</v>
      </c>
      <c r="N10" s="111">
        <f>('Pivot Table for Data Exchange'!$J$70)*100</f>
        <v>2.0843969307436163</v>
      </c>
      <c r="O10" s="119">
        <f>('Pivot Table for Data Exchange'!$J$73)*100</f>
        <v>1.4458574944565938</v>
      </c>
      <c r="P10" s="120">
        <f>('Pivot Table for Data Exchange'!$J$76)*100</f>
        <v>0</v>
      </c>
      <c r="Q10" s="160">
        <f>SUM(B10,C10,D10,H10)</f>
        <v>100</v>
      </c>
      <c r="R10" s="160">
        <f t="shared" ref="R10:R74" si="2">SUM(J10,K10,L10,P10)</f>
        <v>100</v>
      </c>
      <c r="S10" s="161"/>
      <c r="T10" s="162"/>
      <c r="U10" s="162"/>
      <c r="V10" s="162"/>
      <c r="W10" s="162"/>
      <c r="X10" s="162"/>
      <c r="Y10" s="162"/>
      <c r="Z10" s="162"/>
      <c r="AA10" s="162"/>
      <c r="AB10" s="162"/>
      <c r="AC10" s="162"/>
      <c r="AD10" s="162"/>
      <c r="AE10" s="162"/>
      <c r="AF10" s="161"/>
      <c r="AG10" s="161"/>
      <c r="AH10" s="161"/>
      <c r="AI10" s="161"/>
      <c r="AJ10" s="161"/>
      <c r="AK10" s="161"/>
      <c r="AL10" s="161"/>
      <c r="AM10" s="161"/>
      <c r="AN10" s="161"/>
      <c r="AO10" s="161"/>
    </row>
    <row r="11" spans="1:41" ht="15.75" customHeight="1">
      <c r="A11" s="118" t="s">
        <v>655</v>
      </c>
      <c r="B11" s="111">
        <f>('Pivot Table for Data Exchange'!$J$79)*100</f>
        <v>0</v>
      </c>
      <c r="C11" s="111">
        <f>('Pivot Table for Data Exchange'!$J$82)*100</f>
        <v>0</v>
      </c>
      <c r="D11" s="173">
        <f t="shared" si="0"/>
        <v>0</v>
      </c>
      <c r="E11" s="111">
        <f>('Pivot Table for Data Exchange'!$J$85)*100</f>
        <v>0</v>
      </c>
      <c r="F11" s="111">
        <f>('Pivot Table for Data Exchange'!$J$88)*100</f>
        <v>0</v>
      </c>
      <c r="G11" s="119">
        <f>('Pivot Table for Data Exchange'!$J$91)*100</f>
        <v>0</v>
      </c>
      <c r="H11" s="111">
        <f>('Pivot Table for Data Exchange'!$J$94)*100</f>
        <v>0</v>
      </c>
      <c r="I11" s="118" t="s">
        <v>655</v>
      </c>
      <c r="J11" s="111">
        <f>('Pivot Table for Data Exchange'!$J$97)*100</f>
        <v>0</v>
      </c>
      <c r="K11" s="111">
        <f>('Pivot Table for Data Exchange'!$J$100)*100</f>
        <v>0</v>
      </c>
      <c r="L11" s="112">
        <f t="shared" si="1"/>
        <v>0</v>
      </c>
      <c r="M11" s="111">
        <f>('Pivot Table for Data Exchange'!$J$103)*100</f>
        <v>0</v>
      </c>
      <c r="N11" s="111">
        <f>('Pivot Table for Data Exchange'!$J$106)*100</f>
        <v>0</v>
      </c>
      <c r="O11" s="119">
        <f>('Pivot Table for Data Exchange'!$J$109)*100</f>
        <v>0</v>
      </c>
      <c r="P11" s="111">
        <f>('Pivot Table for Data Exchange'!$J$112)*100</f>
        <v>0</v>
      </c>
      <c r="Q11" s="160">
        <f t="shared" ref="Q11:Q74" si="3">SUM(B11,C11,D11,H11)</f>
        <v>0</v>
      </c>
      <c r="R11" s="160">
        <f t="shared" si="2"/>
        <v>0</v>
      </c>
      <c r="S11" s="161"/>
      <c r="T11" s="162"/>
      <c r="U11" s="162"/>
      <c r="V11" s="162"/>
      <c r="W11" s="162"/>
      <c r="X11" s="162"/>
      <c r="Y11" s="162"/>
      <c r="Z11" s="162"/>
      <c r="AA11" s="162"/>
      <c r="AB11" s="162"/>
      <c r="AC11" s="162"/>
      <c r="AD11" s="162"/>
      <c r="AE11" s="162"/>
      <c r="AF11" s="161"/>
      <c r="AG11" s="161"/>
      <c r="AH11" s="161"/>
      <c r="AI11" s="161"/>
      <c r="AJ11" s="161"/>
      <c r="AK11" s="161"/>
      <c r="AL11" s="161"/>
      <c r="AM11" s="161"/>
      <c r="AN11" s="161"/>
      <c r="AO11" s="161"/>
    </row>
    <row r="12" spans="1:41" ht="15.75" customHeight="1">
      <c r="A12" s="118" t="s">
        <v>695</v>
      </c>
      <c r="B12" s="111">
        <f>('Pivot Table for Data Exchange'!$J$115)*100</f>
        <v>74.254212940448994</v>
      </c>
      <c r="C12" s="111">
        <f>('Pivot Table for Data Exchange'!$J$118)*100</f>
        <v>8.1468315461122565</v>
      </c>
      <c r="D12" s="173">
        <f t="shared" si="0"/>
        <v>17.502470263538797</v>
      </c>
      <c r="E12" s="111">
        <f>('Pivot Table for Data Exchange'!$J$121)*100</f>
        <v>14.921884554149727</v>
      </c>
      <c r="F12" s="111">
        <f>('Pivot Table for Data Exchange'!$J$124)*100</f>
        <v>6.8366445295073769E-2</v>
      </c>
      <c r="G12" s="119">
        <f>('Pivot Table for Data Exchange'!$J$127)*100</f>
        <v>2.5122192640939947</v>
      </c>
      <c r="H12" s="111">
        <f>('Pivot Table for Data Exchange'!$J$130)*100</f>
        <v>9.648524989995505E-2</v>
      </c>
      <c r="I12" s="118" t="s">
        <v>695</v>
      </c>
      <c r="J12" s="111">
        <f>('Pivot Table for Data Exchange'!$J$133)*100</f>
        <v>67.54766668511914</v>
      </c>
      <c r="K12" s="111">
        <f>('Pivot Table for Data Exchange'!$J$136)*100</f>
        <v>9.5485998529074507</v>
      </c>
      <c r="L12" s="112">
        <f t="shared" si="1"/>
        <v>22.894480866106242</v>
      </c>
      <c r="M12" s="111">
        <f>('Pivot Table for Data Exchange'!$J$139)*100</f>
        <v>18.720532063803372</v>
      </c>
      <c r="N12" s="111">
        <f>('Pivot Table for Data Exchange'!$J$142)*100</f>
        <v>0.13293686882666014</v>
      </c>
      <c r="O12" s="119">
        <f>('Pivot Table for Data Exchange'!$J$145)*100</f>
        <v>4.0410119334762085</v>
      </c>
      <c r="P12" s="111">
        <f>('Pivot Table for Data Exchange'!$J$148)*100</f>
        <v>9.2525958671738455E-3</v>
      </c>
      <c r="Q12" s="160">
        <f t="shared" si="3"/>
        <v>100</v>
      </c>
      <c r="R12" s="160">
        <f t="shared" si="2"/>
        <v>100</v>
      </c>
      <c r="S12" s="161"/>
      <c r="T12" s="162"/>
      <c r="U12" s="162"/>
      <c r="V12" s="162"/>
      <c r="W12" s="162"/>
      <c r="X12" s="162"/>
      <c r="Y12" s="162"/>
      <c r="Z12" s="162"/>
      <c r="AA12" s="162"/>
      <c r="AB12" s="162"/>
      <c r="AC12" s="162"/>
      <c r="AD12" s="162"/>
      <c r="AE12" s="162"/>
      <c r="AF12" s="161"/>
      <c r="AG12" s="161"/>
      <c r="AH12" s="161"/>
      <c r="AI12" s="161"/>
      <c r="AJ12" s="161"/>
      <c r="AK12" s="161"/>
      <c r="AL12" s="161"/>
      <c r="AM12" s="161"/>
      <c r="AN12" s="161"/>
      <c r="AO12" s="161"/>
    </row>
    <row r="13" spans="1:41" ht="9.75" customHeight="1">
      <c r="A13" s="118"/>
      <c r="B13" s="111"/>
      <c r="C13" s="111"/>
      <c r="D13" s="173"/>
      <c r="E13" s="111"/>
      <c r="F13" s="111"/>
      <c r="G13" s="119"/>
      <c r="H13" s="111"/>
      <c r="I13" s="118"/>
      <c r="J13" s="111"/>
      <c r="K13" s="111"/>
      <c r="L13" s="112"/>
      <c r="M13" s="111"/>
      <c r="N13" s="111"/>
      <c r="O13" s="119"/>
      <c r="P13" s="111"/>
      <c r="Q13" s="160">
        <f t="shared" si="3"/>
        <v>0</v>
      </c>
      <c r="R13" s="160">
        <f t="shared" si="2"/>
        <v>0</v>
      </c>
      <c r="S13" s="161"/>
      <c r="T13" s="162"/>
      <c r="U13" s="162"/>
      <c r="V13" s="162"/>
      <c r="W13" s="162"/>
      <c r="X13" s="162"/>
      <c r="Y13" s="162"/>
      <c r="Z13" s="162"/>
      <c r="AA13" s="162"/>
      <c r="AB13" s="162"/>
      <c r="AC13" s="162"/>
      <c r="AD13" s="162"/>
      <c r="AE13" s="162"/>
      <c r="AF13" s="161"/>
      <c r="AG13" s="161"/>
      <c r="AH13" s="161"/>
      <c r="AI13" s="161"/>
      <c r="AJ13" s="161"/>
      <c r="AK13" s="161"/>
      <c r="AL13" s="161"/>
      <c r="AM13" s="161"/>
      <c r="AN13" s="161"/>
      <c r="AO13" s="161"/>
    </row>
    <row r="14" spans="1:41" ht="15.75" customHeight="1">
      <c r="A14" s="118" t="s">
        <v>657</v>
      </c>
      <c r="B14" s="111">
        <f>('Pivot Table for Data Exchange'!$J$151)*100</f>
        <v>0</v>
      </c>
      <c r="C14" s="111">
        <f>('Pivot Table for Data Exchange'!$J$154)*100</f>
        <v>0</v>
      </c>
      <c r="D14" s="173">
        <f t="shared" si="0"/>
        <v>0</v>
      </c>
      <c r="E14" s="111">
        <f>('Pivot Table for Data Exchange'!$J$157)*100</f>
        <v>0</v>
      </c>
      <c r="F14" s="111">
        <f>('Pivot Table for Data Exchange'!$J$160)*100</f>
        <v>0</v>
      </c>
      <c r="G14" s="119">
        <f>('Pivot Table for Data Exchange'!$J$163)*100</f>
        <v>0</v>
      </c>
      <c r="H14" s="120">
        <f>('Pivot Table for Data Exchange'!$J$166)*100</f>
        <v>0</v>
      </c>
      <c r="I14" s="118" t="s">
        <v>657</v>
      </c>
      <c r="J14" s="111">
        <f>('Pivot Table for Data Exchange'!$J$169)*100</f>
        <v>0</v>
      </c>
      <c r="K14" s="111">
        <f>('Pivot Table for Data Exchange'!$J$172)*100</f>
        <v>0</v>
      </c>
      <c r="L14" s="112">
        <f t="shared" si="1"/>
        <v>0</v>
      </c>
      <c r="M14" s="111">
        <f>('Pivot Table for Data Exchange'!$J$175)*100</f>
        <v>0</v>
      </c>
      <c r="N14" s="111">
        <f>('Pivot Table for Data Exchange'!$J$178)*100</f>
        <v>0</v>
      </c>
      <c r="O14" s="121">
        <f>('Pivot Table for Data Exchange'!$J$181)*100</f>
        <v>0</v>
      </c>
      <c r="P14" s="114">
        <f>('Pivot Table for Data Exchange'!$J$184)*100</f>
        <v>0</v>
      </c>
      <c r="Q14" s="160">
        <f t="shared" si="3"/>
        <v>0</v>
      </c>
      <c r="R14" s="160">
        <f t="shared" si="2"/>
        <v>0</v>
      </c>
      <c r="S14" s="161"/>
      <c r="T14" s="162"/>
      <c r="U14" s="162"/>
      <c r="V14" s="162"/>
      <c r="W14" s="162"/>
      <c r="X14" s="162"/>
      <c r="Y14" s="162"/>
      <c r="Z14" s="162"/>
      <c r="AA14" s="162"/>
      <c r="AB14" s="162"/>
      <c r="AC14" s="162"/>
      <c r="AD14" s="162"/>
      <c r="AE14" s="162"/>
      <c r="AF14" s="161"/>
      <c r="AG14" s="161"/>
      <c r="AH14" s="161"/>
      <c r="AI14" s="161"/>
      <c r="AJ14" s="161"/>
      <c r="AK14" s="161"/>
      <c r="AL14" s="161"/>
      <c r="AM14" s="161"/>
      <c r="AN14" s="161"/>
      <c r="AO14" s="161"/>
    </row>
    <row r="15" spans="1:41" ht="15.75" customHeight="1">
      <c r="A15" s="118" t="s">
        <v>658</v>
      </c>
      <c r="B15" s="111">
        <f>('Pivot Table for Data Exchange'!$J$187)*100</f>
        <v>85.295181262260229</v>
      </c>
      <c r="C15" s="111">
        <f>('Pivot Table for Data Exchange'!$J$190)*100</f>
        <v>4.601256360971802</v>
      </c>
      <c r="D15" s="173">
        <f t="shared" si="0"/>
        <v>10.103562376767982</v>
      </c>
      <c r="E15" s="111">
        <f>('Pivot Table for Data Exchange'!$J$193)*100</f>
        <v>8.6834799036120671</v>
      </c>
      <c r="F15" s="111">
        <f>('Pivot Table for Data Exchange'!$J$196)*100</f>
        <v>1.3219425959237843</v>
      </c>
      <c r="G15" s="119">
        <f>('Pivot Table for Data Exchange'!$J$199)*100</f>
        <v>9.8139877232129885E-2</v>
      </c>
      <c r="H15" s="111">
        <f>('Pivot Table for Data Exchange'!$J$202)*100</f>
        <v>0</v>
      </c>
      <c r="I15" s="118" t="s">
        <v>658</v>
      </c>
      <c r="J15" s="111">
        <f>('Pivot Table for Data Exchange'!$J$205)*100</f>
        <v>70.30989068798668</v>
      </c>
      <c r="K15" s="111">
        <f>('Pivot Table for Data Exchange'!$J$208)*100</f>
        <v>4.9484025275726857</v>
      </c>
      <c r="L15" s="112">
        <f t="shared" si="1"/>
        <v>24.741706784440627</v>
      </c>
      <c r="M15" s="111">
        <f>('Pivot Table for Data Exchange'!$J$211)*100</f>
        <v>23.027092496192125</v>
      </c>
      <c r="N15" s="111">
        <f>('Pivot Table for Data Exchange'!$J$214)*100</f>
        <v>1.6014485218104075</v>
      </c>
      <c r="O15" s="119">
        <f>('Pivot Table for Data Exchange'!$J$217)*100</f>
        <v>0.11316576643809222</v>
      </c>
      <c r="P15" s="111">
        <f>('Pivot Table for Data Exchange'!$J$220)*100</f>
        <v>0</v>
      </c>
      <c r="Q15" s="160">
        <f t="shared" si="3"/>
        <v>100.00000000000001</v>
      </c>
      <c r="R15" s="160">
        <f t="shared" si="2"/>
        <v>99.999999999999986</v>
      </c>
      <c r="S15" s="161"/>
      <c r="T15" s="162"/>
      <c r="U15" s="162"/>
      <c r="V15" s="162"/>
      <c r="W15" s="162"/>
      <c r="X15" s="162"/>
      <c r="Y15" s="162"/>
      <c r="Z15" s="162"/>
      <c r="AA15" s="162"/>
      <c r="AB15" s="162"/>
      <c r="AC15" s="162"/>
      <c r="AD15" s="162"/>
      <c r="AE15" s="162"/>
      <c r="AF15" s="161"/>
      <c r="AG15" s="161"/>
      <c r="AH15" s="161"/>
      <c r="AI15" s="161"/>
      <c r="AJ15" s="161"/>
      <c r="AK15" s="161"/>
      <c r="AL15" s="161"/>
      <c r="AM15" s="161"/>
      <c r="AN15" s="161"/>
      <c r="AO15" s="161"/>
    </row>
    <row r="16" spans="1:41" ht="15.75" customHeight="1">
      <c r="A16" s="118" t="s">
        <v>659</v>
      </c>
      <c r="B16" s="111">
        <f>('Pivot Table for Data Exchange'!$J$223)*100</f>
        <v>0</v>
      </c>
      <c r="C16" s="111">
        <f>('Pivot Table for Data Exchange'!$J$226)*100</f>
        <v>0</v>
      </c>
      <c r="D16" s="173">
        <f t="shared" si="0"/>
        <v>0</v>
      </c>
      <c r="E16" s="111">
        <f>('Pivot Table for Data Exchange'!$J$229)*100</f>
        <v>0</v>
      </c>
      <c r="F16" s="111">
        <f>('Pivot Table for Data Exchange'!$J$232)*100</f>
        <v>0</v>
      </c>
      <c r="G16" s="119">
        <f>('Pivot Table for Data Exchange'!$J$235)*100</f>
        <v>0</v>
      </c>
      <c r="H16" s="111">
        <f>('Pivot Table for Data Exchange'!$J$238)*100</f>
        <v>0</v>
      </c>
      <c r="I16" s="118" t="s">
        <v>659</v>
      </c>
      <c r="J16" s="111">
        <f>('Pivot Table for Data Exchange'!$J$241)*100</f>
        <v>0</v>
      </c>
      <c r="K16" s="111">
        <f>('Pivot Table for Data Exchange'!$J$244)*100</f>
        <v>0</v>
      </c>
      <c r="L16" s="112">
        <f t="shared" si="1"/>
        <v>0</v>
      </c>
      <c r="M16" s="111">
        <f>('Pivot Table for Data Exchange'!$J$247)*100</f>
        <v>0</v>
      </c>
      <c r="N16" s="111">
        <f>('Pivot Table for Data Exchange'!$J$250)*100</f>
        <v>0</v>
      </c>
      <c r="O16" s="121">
        <f>('Pivot Table for Data Exchange'!$J$253)*100</f>
        <v>0</v>
      </c>
      <c r="P16" s="111">
        <f>('Pivot Table for Data Exchange'!$J$256)*100</f>
        <v>0</v>
      </c>
      <c r="Q16" s="160">
        <f t="shared" si="3"/>
        <v>0</v>
      </c>
      <c r="R16" s="160">
        <f t="shared" si="2"/>
        <v>0</v>
      </c>
      <c r="S16" s="161"/>
      <c r="T16" s="162"/>
      <c r="U16" s="162"/>
      <c r="V16" s="162"/>
      <c r="W16" s="162"/>
      <c r="X16" s="162"/>
      <c r="Y16" s="162"/>
      <c r="Z16" s="162"/>
      <c r="AA16" s="162"/>
      <c r="AB16" s="162"/>
      <c r="AC16" s="162"/>
      <c r="AD16" s="162"/>
      <c r="AE16" s="162"/>
      <c r="AF16" s="161"/>
      <c r="AG16" s="161"/>
      <c r="AH16" s="161"/>
      <c r="AI16" s="161"/>
      <c r="AJ16" s="161"/>
      <c r="AK16" s="161"/>
      <c r="AL16" s="161"/>
      <c r="AM16" s="161"/>
      <c r="AN16" s="161"/>
      <c r="AO16" s="161"/>
    </row>
    <row r="17" spans="1:41" ht="15.75" customHeight="1">
      <c r="A17" s="118" t="s">
        <v>696</v>
      </c>
      <c r="B17" s="111">
        <f>('Pivot Table for Data Exchange'!$J$259)*100</f>
        <v>80.752353136494378</v>
      </c>
      <c r="C17" s="111">
        <f>('Pivot Table for Data Exchange'!$J$262)*100</f>
        <v>3.233687625392327</v>
      </c>
      <c r="D17" s="173">
        <f t="shared" si="0"/>
        <v>16.013959238113291</v>
      </c>
      <c r="E17" s="111">
        <f>('Pivot Table for Data Exchange'!$J$265)*100</f>
        <v>15.968058071909955</v>
      </c>
      <c r="F17" s="120">
        <f>('Pivot Table for Data Exchange'!$J$268)*100</f>
        <v>4.5901166203334572E-2</v>
      </c>
      <c r="G17" s="121">
        <f>('Pivot Table for Data Exchange'!$J$271)*100</f>
        <v>0</v>
      </c>
      <c r="H17" s="111">
        <f>('Pivot Table for Data Exchange'!$J$274)*100</f>
        <v>0</v>
      </c>
      <c r="I17" s="118" t="s">
        <v>696</v>
      </c>
      <c r="J17" s="111">
        <f>('Pivot Table for Data Exchange'!$J$277)*100</f>
        <v>44.578250664702075</v>
      </c>
      <c r="K17" s="111">
        <f>('Pivot Table for Data Exchange'!$J$280)*100</f>
        <v>9.6447523561701196</v>
      </c>
      <c r="L17" s="112">
        <f t="shared" si="1"/>
        <v>45.776996979127794</v>
      </c>
      <c r="M17" s="111">
        <f>('Pivot Table for Data Exchange'!$J$283)*100</f>
        <v>45.292618461795172</v>
      </c>
      <c r="N17" s="111">
        <f>('Pivot Table for Data Exchange'!$J$286)*100</f>
        <v>0.4736740197120175</v>
      </c>
      <c r="O17" s="119">
        <f>('Pivot Table for Data Exchange'!$J$289)*100</f>
        <v>1.0704497620610565E-2</v>
      </c>
      <c r="P17" s="111">
        <f>('Pivot Table for Data Exchange'!$J$292)*100</f>
        <v>0</v>
      </c>
      <c r="Q17" s="160">
        <f t="shared" si="3"/>
        <v>99.999999999999986</v>
      </c>
      <c r="R17" s="160">
        <f>SUM(J17,K17,L17,P17)</f>
        <v>100</v>
      </c>
      <c r="S17" s="161"/>
      <c r="T17" s="162"/>
      <c r="U17" s="162"/>
      <c r="V17" s="162"/>
      <c r="W17" s="162"/>
      <c r="X17" s="162"/>
      <c r="Y17" s="162"/>
      <c r="Z17" s="162"/>
      <c r="AA17" s="162"/>
      <c r="AB17" s="162"/>
      <c r="AC17" s="162"/>
      <c r="AD17" s="162"/>
      <c r="AE17" s="162"/>
      <c r="AF17" s="161"/>
      <c r="AG17" s="161"/>
      <c r="AH17" s="161"/>
      <c r="AI17" s="161"/>
      <c r="AJ17" s="161"/>
      <c r="AK17" s="161"/>
      <c r="AL17" s="161"/>
      <c r="AM17" s="161"/>
      <c r="AN17" s="161"/>
      <c r="AO17" s="161"/>
    </row>
    <row r="18" spans="1:41" ht="11.25" customHeight="1">
      <c r="A18" s="118"/>
      <c r="B18" s="111"/>
      <c r="C18" s="111"/>
      <c r="D18" s="173"/>
      <c r="E18" s="111"/>
      <c r="F18" s="111"/>
      <c r="G18" s="119"/>
      <c r="H18" s="111"/>
      <c r="I18" s="118"/>
      <c r="J18" s="111"/>
      <c r="K18" s="111"/>
      <c r="L18" s="112"/>
      <c r="M18" s="111"/>
      <c r="N18" s="111"/>
      <c r="O18" s="119"/>
      <c r="P18" s="111"/>
      <c r="Q18" s="160">
        <f t="shared" si="3"/>
        <v>0</v>
      </c>
      <c r="R18" s="160">
        <f t="shared" si="2"/>
        <v>0</v>
      </c>
      <c r="S18" s="161"/>
      <c r="T18" s="162"/>
      <c r="U18" s="162"/>
      <c r="V18" s="162"/>
      <c r="W18" s="162"/>
      <c r="X18" s="162"/>
      <c r="Y18" s="162"/>
      <c r="Z18" s="162"/>
      <c r="AA18" s="162"/>
      <c r="AB18" s="162"/>
      <c r="AC18" s="162"/>
      <c r="AD18" s="162"/>
      <c r="AE18" s="162"/>
      <c r="AF18" s="161"/>
      <c r="AG18" s="161"/>
      <c r="AH18" s="161"/>
      <c r="AI18" s="161"/>
      <c r="AJ18" s="161"/>
      <c r="AK18" s="161"/>
      <c r="AL18" s="161"/>
      <c r="AM18" s="161"/>
      <c r="AN18" s="161"/>
      <c r="AO18" s="161"/>
    </row>
    <row r="19" spans="1:41" ht="15.75" customHeight="1">
      <c r="A19" s="118" t="s">
        <v>661</v>
      </c>
      <c r="B19" s="111">
        <f>('Pivot Table for Data Exchange'!$J$295)*100</f>
        <v>86.695414333028069</v>
      </c>
      <c r="C19" s="111">
        <f>('Pivot Table for Data Exchange'!$J$298)*100</f>
        <v>5.5232949673175549</v>
      </c>
      <c r="D19" s="173">
        <f t="shared" si="0"/>
        <v>7.71698428696123</v>
      </c>
      <c r="E19" s="111">
        <f>('Pivot Table for Data Exchange'!$J$301)*100</f>
        <v>6.983964815556261</v>
      </c>
      <c r="F19" s="111">
        <f>('Pivot Table for Data Exchange'!$J$304)*100</f>
        <v>0.53641856847666514</v>
      </c>
      <c r="G19" s="119">
        <f>('Pivot Table for Data Exchange'!$J$307)*100</f>
        <v>0.19660090292830415</v>
      </c>
      <c r="H19" s="111">
        <f>('Pivot Table for Data Exchange'!$J$310)*100</f>
        <v>6.4306412693153181E-2</v>
      </c>
      <c r="I19" s="118" t="s">
        <v>661</v>
      </c>
      <c r="J19" s="111">
        <f>('Pivot Table for Data Exchange'!$J$313)*100</f>
        <v>71.827225305630421</v>
      </c>
      <c r="K19" s="111">
        <f>('Pivot Table for Data Exchange'!$J$316)*100</f>
        <v>8.5444982595703998</v>
      </c>
      <c r="L19" s="112">
        <f t="shared" si="1"/>
        <v>19.627098479062816</v>
      </c>
      <c r="M19" s="111">
        <f>('Pivot Table for Data Exchange'!$J$319)*100</f>
        <v>18.898729182086434</v>
      </c>
      <c r="N19" s="111">
        <f>('Pivot Table for Data Exchange'!$J$322)*100</f>
        <v>0.64120057248648787</v>
      </c>
      <c r="O19" s="119">
        <f>('Pivot Table for Data Exchange'!$J$325)*100</f>
        <v>8.7168724489896085E-2</v>
      </c>
      <c r="P19" s="114">
        <f>('Pivot Table for Data Exchange'!$J$328)*100</f>
        <v>1.177955736349947E-3</v>
      </c>
      <c r="Q19" s="160">
        <f t="shared" si="3"/>
        <v>100.00000000000001</v>
      </c>
      <c r="R19" s="160">
        <f t="shared" si="2"/>
        <v>100</v>
      </c>
      <c r="S19" s="161"/>
      <c r="T19" s="162"/>
      <c r="U19" s="162"/>
      <c r="V19" s="162"/>
      <c r="W19" s="162"/>
      <c r="X19" s="162"/>
      <c r="Y19" s="162"/>
      <c r="Z19" s="162"/>
      <c r="AA19" s="162"/>
      <c r="AB19" s="162"/>
      <c r="AC19" s="162"/>
      <c r="AD19" s="162"/>
      <c r="AE19" s="162"/>
      <c r="AF19" s="161"/>
      <c r="AG19" s="161"/>
      <c r="AH19" s="161"/>
      <c r="AI19" s="161"/>
      <c r="AJ19" s="161"/>
      <c r="AK19" s="161"/>
      <c r="AL19" s="161"/>
      <c r="AM19" s="161"/>
      <c r="AN19" s="161"/>
      <c r="AO19" s="161"/>
    </row>
    <row r="20" spans="1:41" ht="15.75" customHeight="1">
      <c r="A20" s="118" t="s">
        <v>662</v>
      </c>
      <c r="B20" s="111">
        <f>('Pivot Table for Data Exchange'!$J$331)*100</f>
        <v>90.191173612345906</v>
      </c>
      <c r="C20" s="111">
        <f>('Pivot Table for Data Exchange'!$J$334)*100</f>
        <v>1.2606789780473573</v>
      </c>
      <c r="D20" s="173">
        <f t="shared" si="0"/>
        <v>8.5481474096067345</v>
      </c>
      <c r="E20" s="111">
        <f>('Pivot Table for Data Exchange'!$J$337)*100</f>
        <v>8.5155521684312152</v>
      </c>
      <c r="F20" s="120">
        <f>('Pivot Table for Data Exchange'!$J$340)*100</f>
        <v>2.357352426811574E-2</v>
      </c>
      <c r="G20" s="119">
        <f>('Pivot Table for Data Exchange'!$J$343)*100</f>
        <v>9.0217169074038837E-3</v>
      </c>
      <c r="H20" s="111">
        <f>('Pivot Table for Data Exchange'!$J$346)*100</f>
        <v>0</v>
      </c>
      <c r="I20" s="118" t="s">
        <v>662</v>
      </c>
      <c r="J20" s="111">
        <f>('Pivot Table for Data Exchange'!$J$349)*100</f>
        <v>74.480494925586726</v>
      </c>
      <c r="K20" s="111">
        <f>('Pivot Table for Data Exchange'!$J$352)*100</f>
        <v>7.1015048172230841</v>
      </c>
      <c r="L20" s="112">
        <f t="shared" si="1"/>
        <v>18.418000257190183</v>
      </c>
      <c r="M20" s="111">
        <f>('Pivot Table for Data Exchange'!$J$355)*100</f>
        <v>18.174306191280742</v>
      </c>
      <c r="N20" s="111">
        <f>('Pivot Table for Data Exchange'!$J$358)*100</f>
        <v>0.18257956662180694</v>
      </c>
      <c r="O20" s="121">
        <f>('Pivot Table for Data Exchange'!$J$361)*100</f>
        <v>6.1114499287634114E-2</v>
      </c>
      <c r="P20" s="111">
        <f>('Pivot Table for Data Exchange'!$J$364)*100</f>
        <v>0</v>
      </c>
      <c r="Q20" s="160">
        <f t="shared" si="3"/>
        <v>100</v>
      </c>
      <c r="R20" s="160">
        <f t="shared" si="2"/>
        <v>100</v>
      </c>
      <c r="S20" s="161"/>
      <c r="T20" s="162"/>
      <c r="U20" s="162"/>
      <c r="V20" s="162"/>
      <c r="W20" s="162"/>
      <c r="X20" s="162"/>
      <c r="Y20" s="162"/>
      <c r="Z20" s="162"/>
      <c r="AA20" s="162"/>
      <c r="AB20" s="162"/>
      <c r="AC20" s="162"/>
      <c r="AD20" s="162"/>
      <c r="AE20" s="162"/>
      <c r="AF20" s="161"/>
      <c r="AG20" s="161"/>
      <c r="AH20" s="161"/>
      <c r="AI20" s="161"/>
      <c r="AJ20" s="161"/>
      <c r="AK20" s="161"/>
      <c r="AL20" s="161"/>
      <c r="AM20" s="161"/>
      <c r="AN20" s="161"/>
      <c r="AO20" s="161"/>
    </row>
    <row r="21" spans="1:41" ht="15.75" customHeight="1">
      <c r="A21" s="118" t="s">
        <v>663</v>
      </c>
      <c r="B21" s="111">
        <f>('Pivot Table for Data Exchange'!$J$367)*100</f>
        <v>88.512508271120865</v>
      </c>
      <c r="C21" s="111">
        <f>('Pivot Table for Data Exchange'!$J$370)*100</f>
        <v>0.56360439802511075</v>
      </c>
      <c r="D21" s="173">
        <f t="shared" si="0"/>
        <v>10.878870738547469</v>
      </c>
      <c r="E21" s="111">
        <f>('Pivot Table for Data Exchange'!$J$373)*100</f>
        <v>9.0638968598527914</v>
      </c>
      <c r="F21" s="111">
        <f>('Pivot Table for Data Exchange'!$J$376)*100</f>
        <v>1.2839533162501138</v>
      </c>
      <c r="G21" s="119">
        <f>('Pivot Table for Data Exchange'!$J$379)*100</f>
        <v>0.53102056244456364</v>
      </c>
      <c r="H21" s="120">
        <f>('Pivot Table for Data Exchange'!$J$382)*100</f>
        <v>4.5016592306543389E-2</v>
      </c>
      <c r="I21" s="118" t="s">
        <v>663</v>
      </c>
      <c r="J21" s="111">
        <f>('Pivot Table for Data Exchange'!$J$385)*100</f>
        <v>74.862980126548436</v>
      </c>
      <c r="K21" s="111">
        <f>('Pivot Table for Data Exchange'!$J$388)*100</f>
        <v>6.0663785164720911</v>
      </c>
      <c r="L21" s="112">
        <f t="shared" si="1"/>
        <v>18.944761310637794</v>
      </c>
      <c r="M21" s="111">
        <f>('Pivot Table for Data Exchange'!$J$391)*100</f>
        <v>14.14238184356712</v>
      </c>
      <c r="N21" s="111">
        <f>('Pivot Table for Data Exchange'!$J$394)*100</f>
        <v>3.171880105754092</v>
      </c>
      <c r="O21" s="119">
        <f>('Pivot Table for Data Exchange'!$J$397)*100</f>
        <v>1.630499361316579</v>
      </c>
      <c r="P21" s="111">
        <f>('Pivot Table for Data Exchange'!$J$400)*100</f>
        <v>0.12588004634168079</v>
      </c>
      <c r="Q21" s="160">
        <f t="shared" si="3"/>
        <v>99.999999999999986</v>
      </c>
      <c r="R21" s="160">
        <f t="shared" si="2"/>
        <v>100</v>
      </c>
      <c r="S21" s="161"/>
      <c r="T21" s="162"/>
      <c r="U21" s="162"/>
      <c r="V21" s="162"/>
      <c r="W21" s="162"/>
      <c r="X21" s="162"/>
      <c r="Y21" s="162"/>
      <c r="Z21" s="162"/>
      <c r="AA21" s="162"/>
      <c r="AB21" s="162"/>
      <c r="AC21" s="162"/>
      <c r="AD21" s="162"/>
      <c r="AE21" s="162"/>
      <c r="AF21" s="161"/>
      <c r="AG21" s="161"/>
      <c r="AH21" s="161"/>
      <c r="AI21" s="161"/>
      <c r="AJ21" s="161"/>
      <c r="AK21" s="161"/>
      <c r="AL21" s="161"/>
      <c r="AM21" s="161"/>
      <c r="AN21" s="161"/>
      <c r="AO21" s="161"/>
    </row>
    <row r="22" spans="1:41" ht="15.75" customHeight="1">
      <c r="A22" s="118" t="s">
        <v>664</v>
      </c>
      <c r="B22" s="111">
        <f>('Pivot Table for Data Exchange'!$J$403)*100</f>
        <v>94.904716340502191</v>
      </c>
      <c r="C22" s="111">
        <f>('Pivot Table for Data Exchange'!$J$406)*100</f>
        <v>2.036177279749217</v>
      </c>
      <c r="D22" s="173">
        <f>SUM(E22:G22)</f>
        <v>3.0591063797486018</v>
      </c>
      <c r="E22" s="111">
        <f>('Pivot Table for Data Exchange'!$J$409)*100</f>
        <v>2.8457847540072176</v>
      </c>
      <c r="F22" s="111">
        <f>('Pivot Table for Data Exchange'!$J$412)*100</f>
        <v>0.15005139167844606</v>
      </c>
      <c r="G22" s="119">
        <f>('Pivot Table for Data Exchange'!$J$415)*100</f>
        <v>6.3270234062937886E-2</v>
      </c>
      <c r="H22" s="111">
        <f>('Pivot Table for Data Exchange'!$J$418)*100</f>
        <v>0</v>
      </c>
      <c r="I22" s="118" t="s">
        <v>664</v>
      </c>
      <c r="J22" s="111">
        <f>('Pivot Table for Data Exchange'!$J$421)*100</f>
        <v>71.952530294329847</v>
      </c>
      <c r="K22" s="111">
        <f>('Pivot Table for Data Exchange'!$J$424)*100</f>
        <v>12.262393804202187</v>
      </c>
      <c r="L22" s="112">
        <f>SUM(M22:O22)</f>
        <v>15.78507590146797</v>
      </c>
      <c r="M22" s="111">
        <f>('Pivot Table for Data Exchange'!$J$427)*100</f>
        <v>14.70765787652576</v>
      </c>
      <c r="N22" s="120">
        <f>('Pivot Table for Data Exchange'!$J$430)*100</f>
        <v>0.17779053845134501</v>
      </c>
      <c r="O22" s="119">
        <f>('Pivot Table for Data Exchange'!$J$433)*100</f>
        <v>0.89962748649086377</v>
      </c>
      <c r="P22" s="111">
        <f>('Pivot Table for Data Exchange'!$J$436)*100</f>
        <v>0</v>
      </c>
      <c r="Q22" s="160">
        <f t="shared" si="3"/>
        <v>100</v>
      </c>
      <c r="R22" s="160">
        <f t="shared" si="2"/>
        <v>100</v>
      </c>
      <c r="S22" s="161"/>
      <c r="T22" s="162"/>
      <c r="U22" s="162"/>
      <c r="V22" s="162"/>
      <c r="W22" s="162"/>
      <c r="X22" s="162"/>
      <c r="Y22" s="162"/>
      <c r="Z22" s="162"/>
      <c r="AA22" s="162"/>
      <c r="AB22" s="162"/>
      <c r="AC22" s="162"/>
      <c r="AD22" s="162"/>
      <c r="AE22" s="162"/>
      <c r="AF22" s="161"/>
      <c r="AG22" s="161"/>
      <c r="AH22" s="161"/>
      <c r="AI22" s="161"/>
      <c r="AJ22" s="161"/>
      <c r="AK22" s="161"/>
      <c r="AL22" s="161"/>
      <c r="AM22" s="161"/>
      <c r="AN22" s="161"/>
      <c r="AO22" s="161"/>
    </row>
    <row r="23" spans="1:41" ht="9.75" customHeight="1">
      <c r="A23" s="118"/>
      <c r="B23" s="111"/>
      <c r="C23" s="111"/>
      <c r="D23" s="173"/>
      <c r="E23" s="111"/>
      <c r="F23" s="111"/>
      <c r="G23" s="119"/>
      <c r="H23" s="111"/>
      <c r="I23" s="118"/>
      <c r="J23" s="111"/>
      <c r="K23" s="111"/>
      <c r="L23" s="112"/>
      <c r="M23" s="111"/>
      <c r="N23" s="111"/>
      <c r="O23" s="119"/>
      <c r="P23" s="111"/>
      <c r="Q23" s="160">
        <f t="shared" si="3"/>
        <v>0</v>
      </c>
      <c r="R23" s="160">
        <f t="shared" si="2"/>
        <v>0</v>
      </c>
      <c r="S23" s="161"/>
      <c r="T23" s="162"/>
      <c r="U23" s="162"/>
      <c r="V23" s="162"/>
      <c r="W23" s="162"/>
      <c r="X23" s="162"/>
      <c r="Y23" s="162"/>
      <c r="Z23" s="162"/>
      <c r="AA23" s="162"/>
      <c r="AB23" s="162"/>
      <c r="AC23" s="162"/>
      <c r="AD23" s="162"/>
      <c r="AE23" s="162"/>
      <c r="AF23" s="161"/>
      <c r="AG23" s="161"/>
      <c r="AH23" s="161"/>
      <c r="AI23" s="161"/>
      <c r="AJ23" s="161"/>
      <c r="AK23" s="161"/>
      <c r="AL23" s="161"/>
      <c r="AM23" s="161"/>
      <c r="AN23" s="161"/>
      <c r="AO23" s="161"/>
    </row>
    <row r="24" spans="1:41" ht="15.75" customHeight="1">
      <c r="A24" s="118" t="s">
        <v>665</v>
      </c>
      <c r="B24" s="111">
        <f>('Pivot Table for Data Exchange'!$J$439)*100</f>
        <v>84.094494943662667</v>
      </c>
      <c r="C24" s="111">
        <f>('Pivot Table for Data Exchange'!$J$442)*100</f>
        <v>2.4494448752000264</v>
      </c>
      <c r="D24" s="173">
        <f>SUM(E24:G24)</f>
        <v>12.94042925251992</v>
      </c>
      <c r="E24" s="111">
        <f>('Pivot Table for Data Exchange'!$J$445)*100</f>
        <v>7.6609861919923459</v>
      </c>
      <c r="F24" s="111">
        <f>('Pivot Table for Data Exchange'!$J$448)*100</f>
        <v>0.56423115627629206</v>
      </c>
      <c r="G24" s="119">
        <f>('Pivot Table for Data Exchange'!$J$451)*100</f>
        <v>4.7152119042512828</v>
      </c>
      <c r="H24" s="111">
        <f>('Pivot Table for Data Exchange'!$J$454)*100</f>
        <v>0.51563092861738458</v>
      </c>
      <c r="I24" s="118" t="s">
        <v>665</v>
      </c>
      <c r="J24" s="111">
        <f>('Pivot Table for Data Exchange'!$J$457)*100</f>
        <v>71.866940000840771</v>
      </c>
      <c r="K24" s="111">
        <f>('Pivot Table for Data Exchange'!$J$460)*100</f>
        <v>6.2234630516655995</v>
      </c>
      <c r="L24" s="112">
        <f>SUM(M24:O24)</f>
        <v>17.446320251045407</v>
      </c>
      <c r="M24" s="111">
        <f>('Pivot Table for Data Exchange'!$J$463)*100</f>
        <v>12.620026756415234</v>
      </c>
      <c r="N24" s="111">
        <f>('Pivot Table for Data Exchange'!$J$466)*100</f>
        <v>0.37735942372319725</v>
      </c>
      <c r="O24" s="119">
        <f>('Pivot Table for Data Exchange'!$J$469)*100</f>
        <v>4.448934070906974</v>
      </c>
      <c r="P24" s="111">
        <f>('Pivot Table for Data Exchange'!$J$472)*100</f>
        <v>4.4632766964482222</v>
      </c>
      <c r="Q24" s="160">
        <f t="shared" si="3"/>
        <v>100</v>
      </c>
      <c r="R24" s="160">
        <f t="shared" si="2"/>
        <v>100</v>
      </c>
      <c r="S24" s="161"/>
      <c r="T24" s="162"/>
      <c r="U24" s="162"/>
      <c r="V24" s="162"/>
      <c r="W24" s="162"/>
      <c r="X24" s="162"/>
      <c r="Y24" s="162"/>
      <c r="Z24" s="162"/>
      <c r="AA24" s="162"/>
      <c r="AB24" s="162"/>
      <c r="AC24" s="162"/>
      <c r="AD24" s="162"/>
      <c r="AE24" s="162"/>
      <c r="AF24" s="161"/>
      <c r="AG24" s="161"/>
      <c r="AH24" s="161"/>
      <c r="AI24" s="161"/>
      <c r="AJ24" s="161"/>
      <c r="AK24" s="161"/>
      <c r="AL24" s="161"/>
      <c r="AM24" s="161"/>
      <c r="AN24" s="161"/>
      <c r="AO24" s="161"/>
    </row>
    <row r="25" spans="1:41" ht="15.75" customHeight="1">
      <c r="A25" s="118" t="s">
        <v>666</v>
      </c>
      <c r="B25" s="111">
        <f>('Pivot Table for Data Exchange'!$J$475)*100</f>
        <v>90.473454222305477</v>
      </c>
      <c r="C25" s="111">
        <f>('Pivot Table for Data Exchange'!$J$478)*100</f>
        <v>1.5965175900278394</v>
      </c>
      <c r="D25" s="173">
        <f>SUM(E25:G25)</f>
        <v>7.9300281876666876</v>
      </c>
      <c r="E25" s="111">
        <f>('Pivot Table for Data Exchange'!$J$481)*100</f>
        <v>7.3595420294518714</v>
      </c>
      <c r="F25" s="111">
        <f>('Pivot Table for Data Exchange'!$J$484)*100</f>
        <v>0.22471598914621319</v>
      </c>
      <c r="G25" s="119">
        <f>('Pivot Table for Data Exchange'!$J$487)*100</f>
        <v>0.34577016906860258</v>
      </c>
      <c r="H25" s="111">
        <f>('Pivot Table for Data Exchange'!$J$490)*100</f>
        <v>0</v>
      </c>
      <c r="I25" s="118" t="s">
        <v>666</v>
      </c>
      <c r="J25" s="111">
        <f>('Pivot Table for Data Exchange'!$J$493)*100</f>
        <v>74.060360286724659</v>
      </c>
      <c r="K25" s="111">
        <f>('Pivot Table for Data Exchange'!$J$496)*100</f>
        <v>4.5356874508232154</v>
      </c>
      <c r="L25" s="112">
        <f>SUM(M25:O25)</f>
        <v>21.40395226245213</v>
      </c>
      <c r="M25" s="111">
        <f>('Pivot Table for Data Exchange'!$J$499)*100</f>
        <v>18.399921612575078</v>
      </c>
      <c r="N25" s="111">
        <f>('Pivot Table for Data Exchange'!$J$502)*100</f>
        <v>0.2687428173582847</v>
      </c>
      <c r="O25" s="119">
        <f>('Pivot Table for Data Exchange'!$J$505)*100</f>
        <v>2.7352878325187673</v>
      </c>
      <c r="P25" s="111">
        <f>('Pivot Table for Data Exchange'!$J$508)*100</f>
        <v>0</v>
      </c>
      <c r="Q25" s="160">
        <f t="shared" si="3"/>
        <v>100.00000000000001</v>
      </c>
      <c r="R25" s="160">
        <f t="shared" si="2"/>
        <v>100</v>
      </c>
      <c r="S25" s="161"/>
      <c r="T25" s="162"/>
      <c r="U25" s="162"/>
      <c r="V25" s="162"/>
      <c r="W25" s="162"/>
      <c r="X25" s="162"/>
      <c r="Y25" s="162"/>
      <c r="Z25" s="162"/>
      <c r="AA25" s="162"/>
      <c r="AB25" s="162"/>
      <c r="AC25" s="162"/>
      <c r="AD25" s="162"/>
      <c r="AE25" s="162"/>
      <c r="AF25" s="161"/>
      <c r="AG25" s="161"/>
      <c r="AH25" s="161"/>
      <c r="AI25" s="161"/>
      <c r="AJ25" s="161"/>
      <c r="AK25" s="161"/>
      <c r="AL25" s="161"/>
      <c r="AM25" s="161"/>
      <c r="AN25" s="161"/>
      <c r="AO25" s="161"/>
    </row>
    <row r="26" spans="1:41" ht="15.75" customHeight="1">
      <c r="A26" s="118" t="s">
        <v>667</v>
      </c>
      <c r="B26" s="111">
        <f>('Pivot Table for Data Exchange'!$J$511)*100</f>
        <v>95.187980927339538</v>
      </c>
      <c r="C26" s="111">
        <f>('Pivot Table for Data Exchange'!$J$514)*100</f>
        <v>1.7559924076971396</v>
      </c>
      <c r="D26" s="173">
        <f t="shared" si="0"/>
        <v>3.0560266649633219</v>
      </c>
      <c r="E26" s="111">
        <f>('Pivot Table for Data Exchange'!$J$517)*100</f>
        <v>2.2381223538809865</v>
      </c>
      <c r="F26" s="111">
        <f>('Pivot Table for Data Exchange'!$J$520)*100</f>
        <v>0.81790431108233541</v>
      </c>
      <c r="G26" s="119">
        <f>('Pivot Table for Data Exchange'!$J$523)*100</f>
        <v>0</v>
      </c>
      <c r="H26" s="111">
        <f>('Pivot Table for Data Exchange'!$J$526)*100</f>
        <v>0</v>
      </c>
      <c r="I26" s="118" t="s">
        <v>667</v>
      </c>
      <c r="J26" s="111">
        <f>('Pivot Table for Data Exchange'!$J$529)*100</f>
        <v>80.994490923504685</v>
      </c>
      <c r="K26" s="111">
        <f>('Pivot Table for Data Exchange'!$J$532)*100</f>
        <v>10.975854586492874</v>
      </c>
      <c r="L26" s="112">
        <f t="shared" si="1"/>
        <v>8.0296544900024376</v>
      </c>
      <c r="M26" s="111">
        <f>('Pivot Table for Data Exchange'!$J$535)*100</f>
        <v>5.8355365615153518</v>
      </c>
      <c r="N26" s="111">
        <f>('Pivot Table for Data Exchange'!$J$538)*100</f>
        <v>2.1941179284870862</v>
      </c>
      <c r="O26" s="119">
        <f>('Pivot Table for Data Exchange'!$J$541)*100</f>
        <v>0</v>
      </c>
      <c r="P26" s="111">
        <f>('Pivot Table for Data Exchange'!$J$544)*100</f>
        <v>0</v>
      </c>
      <c r="Q26" s="160">
        <f t="shared" si="3"/>
        <v>100</v>
      </c>
      <c r="R26" s="160">
        <f t="shared" si="2"/>
        <v>100</v>
      </c>
      <c r="S26" s="161"/>
      <c r="T26" s="162"/>
      <c r="U26" s="162"/>
      <c r="V26" s="162"/>
      <c r="W26" s="162"/>
      <c r="X26" s="162"/>
      <c r="Y26" s="162"/>
      <c r="Z26" s="162"/>
      <c r="AA26" s="162"/>
      <c r="AB26" s="162"/>
      <c r="AC26" s="162"/>
      <c r="AD26" s="162"/>
      <c r="AE26" s="162"/>
      <c r="AF26" s="161"/>
      <c r="AG26" s="161"/>
      <c r="AH26" s="161"/>
      <c r="AI26" s="161"/>
      <c r="AJ26" s="161"/>
      <c r="AK26" s="161"/>
      <c r="AL26" s="161"/>
      <c r="AM26" s="161"/>
      <c r="AN26" s="161"/>
      <c r="AO26" s="161"/>
    </row>
    <row r="27" spans="1:41" ht="15.75" customHeight="1">
      <c r="A27" s="91" t="s">
        <v>668</v>
      </c>
      <c r="B27" s="122">
        <f>('Pivot Table for Data Exchange'!$J$547)*100</f>
        <v>87.456651332354213</v>
      </c>
      <c r="C27" s="122">
        <f>('Pivot Table for Data Exchange'!$J$550)*100</f>
        <v>3.7455098741476442</v>
      </c>
      <c r="D27" s="174">
        <f>SUM(E27:G27)</f>
        <v>8.7978387934981459</v>
      </c>
      <c r="E27" s="122">
        <f>('Pivot Table for Data Exchange'!$J$553)*100</f>
        <v>8.3907296450380855</v>
      </c>
      <c r="F27" s="122">
        <f>('Pivot Table for Data Exchange'!$J$556)*100</f>
        <v>0.21802339985689737</v>
      </c>
      <c r="G27" s="124">
        <f>('Pivot Table for Data Exchange'!$J$559)*100</f>
        <v>0.18908574860316371</v>
      </c>
      <c r="H27" s="125">
        <f>('Pivot Table for Data Exchange'!$J$562)*100</f>
        <v>0</v>
      </c>
      <c r="I27" s="91" t="s">
        <v>668</v>
      </c>
      <c r="J27" s="122">
        <f>('Pivot Table for Data Exchange'!$J$565)*100</f>
        <v>54.101832904019375</v>
      </c>
      <c r="K27" s="122">
        <f>('Pivot Table for Data Exchange'!$J$568)*100</f>
        <v>20.364374479445331</v>
      </c>
      <c r="L27" s="123">
        <f>SUM(M27:O27)</f>
        <v>25.533792616535298</v>
      </c>
      <c r="M27" s="122">
        <f>('Pivot Table for Data Exchange'!$J$571)*100</f>
        <v>23.695924367198575</v>
      </c>
      <c r="N27" s="122">
        <f>('Pivot Table for Data Exchange'!$J$574)*100</f>
        <v>1.5824861966827912</v>
      </c>
      <c r="O27" s="124">
        <f>('Pivot Table for Data Exchange'!$J$577)*100</f>
        <v>0.25538205265393249</v>
      </c>
      <c r="P27" s="122">
        <f>('Pivot Table for Data Exchange'!$J$580)*100</f>
        <v>0</v>
      </c>
      <c r="Q27" s="160">
        <f t="shared" si="3"/>
        <v>100</v>
      </c>
      <c r="R27" s="160">
        <f t="shared" si="2"/>
        <v>100</v>
      </c>
      <c r="S27" s="161"/>
      <c r="T27" s="162"/>
      <c r="U27" s="162"/>
      <c r="V27" s="162"/>
      <c r="W27" s="162"/>
      <c r="X27" s="162"/>
      <c r="Y27" s="162"/>
      <c r="Z27" s="162"/>
      <c r="AA27" s="162"/>
      <c r="AB27" s="162"/>
      <c r="AC27" s="162"/>
      <c r="AD27" s="162"/>
      <c r="AE27" s="162"/>
      <c r="AF27" s="161"/>
      <c r="AG27" s="161"/>
      <c r="AH27" s="161"/>
      <c r="AI27" s="161"/>
      <c r="AJ27" s="161"/>
      <c r="AK27" s="161"/>
      <c r="AL27" s="161"/>
      <c r="AM27" s="161"/>
      <c r="AN27" s="161"/>
      <c r="AO27" s="161"/>
    </row>
    <row r="28" spans="1:41" s="166" customFormat="1" ht="18" customHeight="1">
      <c r="A28" s="58" t="s">
        <v>697</v>
      </c>
      <c r="B28" s="126"/>
      <c r="C28" s="126"/>
      <c r="D28" s="127"/>
      <c r="E28" s="126"/>
      <c r="F28" s="127"/>
      <c r="G28" s="127"/>
      <c r="H28" s="126"/>
      <c r="I28" s="58" t="s">
        <v>697</v>
      </c>
      <c r="J28" s="126"/>
      <c r="K28" s="126"/>
      <c r="L28" s="127"/>
      <c r="M28" s="126"/>
      <c r="N28" s="127"/>
      <c r="O28" s="127"/>
      <c r="P28" s="126"/>
      <c r="Q28" s="160">
        <f t="shared" si="3"/>
        <v>0</v>
      </c>
      <c r="R28" s="160">
        <f t="shared" si="2"/>
        <v>0</v>
      </c>
      <c r="S28" s="165"/>
      <c r="T28" s="161"/>
      <c r="U28" s="165"/>
      <c r="V28" s="165"/>
      <c r="W28" s="165"/>
      <c r="X28" s="165"/>
      <c r="Y28" s="165"/>
      <c r="Z28" s="165"/>
      <c r="AA28" s="165"/>
      <c r="AB28" s="165"/>
      <c r="AC28" s="165"/>
      <c r="AD28" s="165"/>
      <c r="AE28" s="165"/>
      <c r="AF28" s="165"/>
      <c r="AG28" s="165"/>
      <c r="AH28" s="165"/>
      <c r="AI28" s="165"/>
      <c r="AJ28" s="165"/>
      <c r="AK28" s="165"/>
      <c r="AL28" s="165"/>
      <c r="AM28" s="165"/>
      <c r="AN28" s="165"/>
      <c r="AO28" s="165"/>
    </row>
    <row r="29" spans="1:41" s="166" customFormat="1" ht="24.75" customHeight="1">
      <c r="A29" s="649" t="s">
        <v>698</v>
      </c>
      <c r="B29" s="650"/>
      <c r="C29" s="650"/>
      <c r="D29" s="650"/>
      <c r="E29" s="650"/>
      <c r="F29" s="650"/>
      <c r="G29" s="650"/>
      <c r="H29" s="650"/>
      <c r="I29" s="649" t="s">
        <v>698</v>
      </c>
      <c r="J29" s="650"/>
      <c r="K29" s="650"/>
      <c r="L29" s="650"/>
      <c r="M29" s="650"/>
      <c r="N29" s="650"/>
      <c r="O29" s="650"/>
      <c r="P29" s="650"/>
      <c r="Q29" s="160">
        <f t="shared" si="3"/>
        <v>0</v>
      </c>
      <c r="R29" s="160">
        <f t="shared" si="2"/>
        <v>0</v>
      </c>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row>
    <row r="30" spans="1:41" s="166" customFormat="1" ht="13.5" customHeight="1">
      <c r="A30" s="643" t="s">
        <v>699</v>
      </c>
      <c r="B30" s="644"/>
      <c r="C30" s="644"/>
      <c r="D30" s="644"/>
      <c r="E30" s="644"/>
      <c r="F30" s="644"/>
      <c r="G30" s="644"/>
      <c r="H30" s="644"/>
      <c r="I30" s="643" t="s">
        <v>699</v>
      </c>
      <c r="J30" s="644"/>
      <c r="K30" s="644"/>
      <c r="L30" s="644"/>
      <c r="M30" s="644"/>
      <c r="N30" s="644"/>
      <c r="O30" s="644"/>
      <c r="P30" s="644"/>
      <c r="Q30" s="160">
        <f t="shared" si="3"/>
        <v>0</v>
      </c>
      <c r="R30" s="160">
        <f t="shared" si="2"/>
        <v>0</v>
      </c>
    </row>
    <row r="31" spans="1:41" s="166" customFormat="1" ht="13.5" customHeight="1">
      <c r="A31" s="70"/>
      <c r="B31" s="175"/>
      <c r="C31" s="175"/>
      <c r="D31" s="175"/>
      <c r="E31" s="175"/>
      <c r="F31" s="175"/>
      <c r="G31" s="175"/>
      <c r="H31" s="175"/>
      <c r="I31" s="70"/>
      <c r="J31" s="175"/>
      <c r="K31" s="175"/>
      <c r="L31" s="175"/>
      <c r="M31" s="175"/>
      <c r="N31" s="175"/>
      <c r="O31" s="175"/>
      <c r="P31" s="175"/>
      <c r="Q31" s="160"/>
      <c r="R31" s="160"/>
    </row>
    <row r="32" spans="1:41">
      <c r="H32" s="64" t="s">
        <v>1034</v>
      </c>
      <c r="I32" s="65"/>
      <c r="P32" s="64" t="s">
        <v>1034</v>
      </c>
      <c r="Q32" s="160">
        <f t="shared" si="3"/>
        <v>0</v>
      </c>
      <c r="R32" s="160">
        <f t="shared" si="2"/>
        <v>0</v>
      </c>
    </row>
    <row r="33" spans="1:41" ht="18">
      <c r="A33" s="31" t="s">
        <v>1012</v>
      </c>
      <c r="B33" s="86"/>
      <c r="C33" s="86"/>
      <c r="D33" s="86"/>
      <c r="E33" s="86"/>
      <c r="F33" s="86"/>
      <c r="G33" s="86"/>
      <c r="H33" s="87"/>
      <c r="I33" s="31" t="s">
        <v>1027</v>
      </c>
      <c r="J33" s="38"/>
      <c r="K33" s="38"/>
      <c r="L33" s="86"/>
      <c r="M33" s="38"/>
      <c r="N33" s="38"/>
      <c r="O33" s="38"/>
      <c r="P33" s="38"/>
      <c r="Q33" s="160">
        <f t="shared" si="3"/>
        <v>0</v>
      </c>
      <c r="R33" s="160">
        <f t="shared" si="2"/>
        <v>0</v>
      </c>
    </row>
    <row r="34" spans="1:41">
      <c r="A34" s="37"/>
      <c r="B34" s="38"/>
      <c r="C34" s="38"/>
      <c r="D34" s="38"/>
      <c r="E34" s="38"/>
      <c r="F34" s="38"/>
      <c r="G34" s="38"/>
      <c r="H34" s="88"/>
      <c r="I34" s="37"/>
      <c r="J34" s="38"/>
      <c r="K34" s="38"/>
      <c r="L34" s="38"/>
      <c r="M34" s="38"/>
      <c r="N34" s="38"/>
      <c r="O34" s="38"/>
      <c r="P34" s="38"/>
      <c r="Q34" s="160">
        <f t="shared" si="3"/>
        <v>0</v>
      </c>
      <c r="R34" s="160">
        <f t="shared" si="2"/>
        <v>0</v>
      </c>
    </row>
    <row r="35" spans="1:41" ht="15.75">
      <c r="A35" s="89" t="s">
        <v>683</v>
      </c>
      <c r="B35" s="38"/>
      <c r="C35" s="38"/>
      <c r="D35" s="38"/>
      <c r="E35" s="38"/>
      <c r="F35" s="38"/>
      <c r="G35" s="38"/>
      <c r="H35" s="88"/>
      <c r="I35" s="89" t="s">
        <v>684</v>
      </c>
      <c r="J35" s="38"/>
      <c r="K35" s="38"/>
      <c r="L35" s="38"/>
      <c r="M35" s="38"/>
      <c r="N35" s="38"/>
      <c r="O35" s="38"/>
      <c r="P35" s="38"/>
      <c r="Q35" s="160">
        <f t="shared" si="3"/>
        <v>0</v>
      </c>
      <c r="R35" s="160">
        <f t="shared" si="2"/>
        <v>0</v>
      </c>
    </row>
    <row r="36" spans="1:41" ht="15.75">
      <c r="A36" s="89" t="s">
        <v>987</v>
      </c>
      <c r="B36" s="38"/>
      <c r="C36" s="38"/>
      <c r="D36" s="38"/>
      <c r="E36" s="38"/>
      <c r="F36" s="38"/>
      <c r="G36" s="38"/>
      <c r="H36" s="88"/>
      <c r="I36" s="89" t="s">
        <v>987</v>
      </c>
      <c r="J36" s="38"/>
      <c r="K36" s="38"/>
      <c r="L36" s="38"/>
      <c r="M36" s="38"/>
      <c r="N36" s="38"/>
      <c r="O36" s="38"/>
      <c r="P36" s="38"/>
      <c r="Q36" s="160">
        <f t="shared" si="3"/>
        <v>0</v>
      </c>
      <c r="R36" s="160">
        <f t="shared" si="2"/>
        <v>0</v>
      </c>
    </row>
    <row r="37" spans="1:41">
      <c r="A37" s="91"/>
      <c r="B37" s="92"/>
      <c r="C37" s="92"/>
      <c r="D37" s="92"/>
      <c r="E37" s="92"/>
      <c r="F37" s="92"/>
      <c r="G37" s="92"/>
      <c r="H37" s="92"/>
      <c r="I37" s="93"/>
      <c r="L37" s="94"/>
      <c r="P37" s="91"/>
      <c r="Q37" s="160">
        <f t="shared" si="3"/>
        <v>0</v>
      </c>
      <c r="R37" s="160">
        <f t="shared" si="2"/>
        <v>0</v>
      </c>
    </row>
    <row r="38" spans="1:41" s="109" customFormat="1">
      <c r="A38" s="95"/>
      <c r="B38" s="96" t="s">
        <v>685</v>
      </c>
      <c r="C38" s="96"/>
      <c r="D38" s="96"/>
      <c r="E38" s="96"/>
      <c r="F38" s="96"/>
      <c r="G38" s="96"/>
      <c r="H38" s="97"/>
      <c r="I38" s="95"/>
      <c r="J38" s="96" t="s">
        <v>685</v>
      </c>
      <c r="K38" s="96"/>
      <c r="L38" s="96"/>
      <c r="M38" s="96"/>
      <c r="N38" s="96"/>
      <c r="O38" s="96"/>
      <c r="P38" s="97"/>
      <c r="Q38" s="160">
        <f t="shared" si="3"/>
        <v>0</v>
      </c>
      <c r="R38" s="160">
        <f t="shared" si="2"/>
        <v>0</v>
      </c>
    </row>
    <row r="39" spans="1:41" s="109" customFormat="1">
      <c r="A39" s="95"/>
      <c r="B39" s="96" t="s">
        <v>686</v>
      </c>
      <c r="C39" s="96"/>
      <c r="D39" s="647" t="s">
        <v>687</v>
      </c>
      <c r="E39" s="648"/>
      <c r="F39" s="648"/>
      <c r="G39" s="648"/>
      <c r="H39" s="101" t="s">
        <v>59</v>
      </c>
      <c r="I39" s="95"/>
      <c r="J39" s="96" t="s">
        <v>686</v>
      </c>
      <c r="K39" s="96"/>
      <c r="L39" s="647" t="s">
        <v>687</v>
      </c>
      <c r="M39" s="648"/>
      <c r="N39" s="648"/>
      <c r="O39" s="648"/>
      <c r="P39" s="101" t="s">
        <v>59</v>
      </c>
      <c r="Q39" s="160">
        <f t="shared" si="3"/>
        <v>0</v>
      </c>
      <c r="R39" s="160">
        <f t="shared" si="2"/>
        <v>0</v>
      </c>
    </row>
    <row r="40" spans="1:41" s="109" customFormat="1" ht="40.5" customHeight="1">
      <c r="A40" s="95"/>
      <c r="B40" s="102" t="s">
        <v>688</v>
      </c>
      <c r="C40" s="103" t="s">
        <v>689</v>
      </c>
      <c r="D40" s="104" t="s">
        <v>690</v>
      </c>
      <c r="E40" s="105" t="s">
        <v>9</v>
      </c>
      <c r="F40" s="102" t="s">
        <v>691</v>
      </c>
      <c r="G40" s="106" t="s">
        <v>692</v>
      </c>
      <c r="H40" s="107" t="s">
        <v>693</v>
      </c>
      <c r="I40" s="95"/>
      <c r="J40" s="102" t="s">
        <v>688</v>
      </c>
      <c r="K40" s="103" t="s">
        <v>689</v>
      </c>
      <c r="L40" s="104" t="s">
        <v>690</v>
      </c>
      <c r="M40" s="105" t="s">
        <v>9</v>
      </c>
      <c r="N40" s="102" t="s">
        <v>691</v>
      </c>
      <c r="O40" s="106" t="s">
        <v>692</v>
      </c>
      <c r="P40" s="107" t="s">
        <v>693</v>
      </c>
      <c r="Q40" s="160">
        <f t="shared" si="3"/>
        <v>0</v>
      </c>
      <c r="R40" s="160">
        <f t="shared" si="2"/>
        <v>0</v>
      </c>
      <c r="T40" s="108"/>
    </row>
    <row r="41" spans="1:41" ht="15.75" customHeight="1">
      <c r="A41" s="110" t="s">
        <v>653</v>
      </c>
      <c r="B41" s="144">
        <f>('Pivot Table for Data Exchange'!$C$7)*100</f>
        <v>95.605067100625774</v>
      </c>
      <c r="C41" s="111">
        <f>('Pivot Table for Data Exchange'!$C$10)*100</f>
        <v>0.1381502450053621</v>
      </c>
      <c r="D41" s="112">
        <f>SUM(E41:G41)</f>
        <v>4.2567826543688652</v>
      </c>
      <c r="E41" s="111">
        <f>('Pivot Table for Data Exchange'!$C$13)*100</f>
        <v>3.9979687203583518</v>
      </c>
      <c r="F41" s="111">
        <f>('Pivot Table for Data Exchange'!$C$16)*100</f>
        <v>3.7360575365765841E-2</v>
      </c>
      <c r="G41" s="113">
        <f>('Pivot Table for Data Exchange'!$C$19)*100</f>
        <v>0.22145335864474672</v>
      </c>
      <c r="H41" s="114">
        <f>('Pivot Table for Data Exchange'!$C$22)*100</f>
        <v>0</v>
      </c>
      <c r="I41" s="115" t="s">
        <v>653</v>
      </c>
      <c r="J41" s="111">
        <f>('Pivot Table for Data Exchange'!$C$25)*100</f>
        <v>85.943599393432251</v>
      </c>
      <c r="K41" s="111">
        <f>('Pivot Table for Data Exchange'!$C$28)*100</f>
        <v>3.1347829226541162</v>
      </c>
      <c r="L41" s="112">
        <f>SUM(M41:O41)</f>
        <v>10.921617683913636</v>
      </c>
      <c r="M41" s="111">
        <f>('Pivot Table for Data Exchange'!$C$31)*100</f>
        <v>6.4118629020953772</v>
      </c>
      <c r="N41" s="111">
        <f>('Pivot Table for Data Exchange'!$C$34)*100</f>
        <v>0.24254214753868567</v>
      </c>
      <c r="O41" s="113">
        <f>('Pivot Table for Data Exchange'!$C$37)*100</f>
        <v>4.2672126342795735</v>
      </c>
      <c r="P41" s="111">
        <f>('Pivot Table for Data Exchange'!$C$40)*100</f>
        <v>0</v>
      </c>
      <c r="Q41" s="160">
        <f t="shared" si="3"/>
        <v>100</v>
      </c>
      <c r="R41" s="160">
        <f t="shared" si="2"/>
        <v>100</v>
      </c>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row>
    <row r="42" spans="1:41" ht="15.75" customHeight="1">
      <c r="A42" s="118" t="s">
        <v>654</v>
      </c>
      <c r="B42" s="111">
        <f>('Pivot Table for Data Exchange'!$C$43)*100</f>
        <v>94.385322186375603</v>
      </c>
      <c r="C42" s="111">
        <f>('Pivot Table for Data Exchange'!$C$46)*100</f>
        <v>2.4224984312706388</v>
      </c>
      <c r="D42" s="112">
        <f>SUM(E42:G42)</f>
        <v>3.192179382353749</v>
      </c>
      <c r="E42" s="111">
        <f>('Pivot Table for Data Exchange'!$C$49)*100</f>
        <v>3.0265384639762694</v>
      </c>
      <c r="F42" s="111">
        <f>('Pivot Table for Data Exchange'!$C$52)*100</f>
        <v>0.12761111568877254</v>
      </c>
      <c r="G42" s="119">
        <f>('Pivot Table for Data Exchange'!$C$55)*100</f>
        <v>3.8029802688707044E-2</v>
      </c>
      <c r="H42" s="120">
        <f>('Pivot Table for Data Exchange'!$C$58)*100</f>
        <v>0</v>
      </c>
      <c r="I42" s="118" t="s">
        <v>654</v>
      </c>
      <c r="J42" s="111">
        <f>('Pivot Table for Data Exchange'!$C$61)*100</f>
        <v>75.414108806096522</v>
      </c>
      <c r="K42" s="111">
        <f>('Pivot Table for Data Exchange'!$C$64)*100</f>
        <v>4.6517781541066894</v>
      </c>
      <c r="L42" s="112">
        <f>SUM(M42:O42)</f>
        <v>19.934113039796781</v>
      </c>
      <c r="M42" s="111">
        <f>('Pivot Table for Data Exchange'!$C$67)*100</f>
        <v>15.056096528365792</v>
      </c>
      <c r="N42" s="111">
        <f>('Pivot Table for Data Exchange'!$C$70)*100</f>
        <v>2.3814563928873836E-2</v>
      </c>
      <c r="O42" s="119">
        <f>('Pivot Table for Data Exchange'!$C$73)*100</f>
        <v>4.8542019475021165</v>
      </c>
      <c r="P42" s="120">
        <f>('Pivot Table for Data Exchange'!$C$76)*100</f>
        <v>0</v>
      </c>
      <c r="Q42" s="160">
        <f t="shared" si="3"/>
        <v>99.999999999999986</v>
      </c>
      <c r="R42" s="160">
        <f t="shared" si="2"/>
        <v>100</v>
      </c>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row>
    <row r="43" spans="1:41" ht="15.75" customHeight="1">
      <c r="A43" s="118" t="s">
        <v>655</v>
      </c>
      <c r="B43" s="111">
        <f>('Pivot Table for Data Exchange'!$C$79)*100</f>
        <v>0</v>
      </c>
      <c r="C43" s="111">
        <f>('Pivot Table for Data Exchange'!$C$82)*100</f>
        <v>0</v>
      </c>
      <c r="D43" s="112">
        <f>SUM(E43:G43)</f>
        <v>0</v>
      </c>
      <c r="E43" s="111">
        <f>('Pivot Table for Data Exchange'!$C$85)*100</f>
        <v>0</v>
      </c>
      <c r="F43" s="111">
        <f>('Pivot Table for Data Exchange'!$C$88)*100</f>
        <v>0</v>
      </c>
      <c r="G43" s="119">
        <f>('Pivot Table for Data Exchange'!$C$91)*100</f>
        <v>0</v>
      </c>
      <c r="H43" s="111">
        <f>('Pivot Table for Data Exchange'!$C$94)*100</f>
        <v>0</v>
      </c>
      <c r="I43" s="118" t="s">
        <v>655</v>
      </c>
      <c r="J43" s="111">
        <f>('Pivot Table for Data Exchange'!$C$97)*100</f>
        <v>0</v>
      </c>
      <c r="K43" s="111">
        <f>('Pivot Table for Data Exchange'!$C$100)*100</f>
        <v>0</v>
      </c>
      <c r="L43" s="112">
        <f>SUM(M43:O43)</f>
        <v>0</v>
      </c>
      <c r="M43" s="111">
        <f>('Pivot Table for Data Exchange'!$C$103)*100</f>
        <v>0</v>
      </c>
      <c r="N43" s="111">
        <f>('Pivot Table for Data Exchange'!$C$106)*100</f>
        <v>0</v>
      </c>
      <c r="O43" s="119">
        <f>('Pivot Table for Data Exchange'!$C$109)*100</f>
        <v>0</v>
      </c>
      <c r="P43" s="111">
        <f>('Pivot Table for Data Exchange'!$C$112)*100</f>
        <v>0</v>
      </c>
      <c r="Q43" s="160">
        <f t="shared" si="3"/>
        <v>0</v>
      </c>
      <c r="R43" s="160">
        <f t="shared" si="2"/>
        <v>0</v>
      </c>
      <c r="S43" s="161"/>
      <c r="T43" s="167"/>
      <c r="U43" s="161"/>
      <c r="V43" s="161"/>
      <c r="W43" s="161"/>
      <c r="X43" s="161"/>
      <c r="Y43" s="161"/>
      <c r="Z43" s="161"/>
      <c r="AA43" s="161"/>
      <c r="AB43" s="161"/>
      <c r="AC43" s="161"/>
      <c r="AD43" s="161"/>
      <c r="AE43" s="161"/>
      <c r="AF43" s="161"/>
      <c r="AG43" s="161"/>
      <c r="AH43" s="161"/>
      <c r="AI43" s="161"/>
      <c r="AJ43" s="161"/>
      <c r="AK43" s="161"/>
      <c r="AL43" s="161"/>
      <c r="AM43" s="161"/>
      <c r="AN43" s="161"/>
      <c r="AO43" s="161"/>
    </row>
    <row r="44" spans="1:41" ht="15.75" customHeight="1">
      <c r="A44" s="118" t="s">
        <v>695</v>
      </c>
      <c r="B44" s="111">
        <f>('Pivot Table for Data Exchange'!$C$115)*100</f>
        <v>71.856326751405348</v>
      </c>
      <c r="C44" s="111">
        <f>('Pivot Table for Data Exchange'!$C$118)*100</f>
        <v>8.5876857330333003</v>
      </c>
      <c r="D44" s="112">
        <f>SUM(E44:G44)</f>
        <v>19.425376177945413</v>
      </c>
      <c r="E44" s="111">
        <f>('Pivot Table for Data Exchange'!$C$121)*100</f>
        <v>16.165669270408799</v>
      </c>
      <c r="F44" s="111">
        <f>('Pivot Table for Data Exchange'!$C$124)*100</f>
        <v>4.7429674965855879E-2</v>
      </c>
      <c r="G44" s="119">
        <f>('Pivot Table for Data Exchange'!$C$127)*100</f>
        <v>3.2122772325707603</v>
      </c>
      <c r="H44" s="111">
        <f>('Pivot Table for Data Exchange'!$C$130)*100</f>
        <v>0.13061133761592922</v>
      </c>
      <c r="I44" s="118" t="s">
        <v>695</v>
      </c>
      <c r="J44" s="111">
        <f>('Pivot Table for Data Exchange'!$C$133)*100</f>
        <v>69.704439859150483</v>
      </c>
      <c r="K44" s="111">
        <f>('Pivot Table for Data Exchange'!$C$136)*100</f>
        <v>7.9522007019517478</v>
      </c>
      <c r="L44" s="112">
        <f>SUM(M44:O44)</f>
        <v>22.332167240147278</v>
      </c>
      <c r="M44" s="111">
        <f>('Pivot Table for Data Exchange'!$C$139)*100</f>
        <v>17.716867982754447</v>
      </c>
      <c r="N44" s="111">
        <f>('Pivot Table for Data Exchange'!$C$142)*100</f>
        <v>6.3231139949357681E-2</v>
      </c>
      <c r="O44" s="119">
        <f>('Pivot Table for Data Exchange'!$C$145)*100</f>
        <v>4.5520681174434721</v>
      </c>
      <c r="P44" s="111">
        <f>('Pivot Table for Data Exchange'!$C$148)*100</f>
        <v>1.1192198750491452E-2</v>
      </c>
      <c r="Q44" s="160">
        <f t="shared" si="3"/>
        <v>99.999999999999986</v>
      </c>
      <c r="R44" s="160">
        <f t="shared" si="2"/>
        <v>100.00000000000001</v>
      </c>
      <c r="S44" s="161"/>
      <c r="U44" s="161"/>
      <c r="V44" s="161"/>
      <c r="W44" s="161"/>
      <c r="X44" s="161"/>
      <c r="Y44" s="161"/>
      <c r="Z44" s="161"/>
      <c r="AA44" s="161"/>
      <c r="AB44" s="161"/>
      <c r="AC44" s="161"/>
      <c r="AD44" s="161"/>
      <c r="AE44" s="161"/>
      <c r="AF44" s="161"/>
      <c r="AG44" s="161"/>
      <c r="AH44" s="161"/>
      <c r="AI44" s="161"/>
      <c r="AJ44" s="161"/>
      <c r="AK44" s="161"/>
      <c r="AL44" s="161"/>
      <c r="AM44" s="161"/>
      <c r="AN44" s="161"/>
      <c r="AO44" s="161"/>
    </row>
    <row r="45" spans="1:41" ht="10.5" customHeight="1">
      <c r="A45" s="118"/>
      <c r="B45" s="111"/>
      <c r="C45" s="111"/>
      <c r="D45" s="112"/>
      <c r="E45" s="111"/>
      <c r="F45" s="111"/>
      <c r="G45" s="119"/>
      <c r="H45" s="111"/>
      <c r="I45" s="118"/>
      <c r="J45" s="111"/>
      <c r="K45" s="111"/>
      <c r="L45" s="112"/>
      <c r="M45" s="111"/>
      <c r="N45" s="111"/>
      <c r="O45" s="119"/>
      <c r="P45" s="111"/>
      <c r="Q45" s="160">
        <f t="shared" si="3"/>
        <v>0</v>
      </c>
      <c r="R45" s="160">
        <f t="shared" si="2"/>
        <v>0</v>
      </c>
      <c r="S45" s="161"/>
      <c r="U45" s="161"/>
      <c r="V45" s="161"/>
      <c r="W45" s="161"/>
      <c r="X45" s="161"/>
      <c r="Y45" s="161"/>
      <c r="Z45" s="161"/>
      <c r="AA45" s="161"/>
      <c r="AB45" s="161"/>
      <c r="AC45" s="161"/>
      <c r="AD45" s="161"/>
      <c r="AE45" s="161"/>
      <c r="AF45" s="161"/>
      <c r="AG45" s="161"/>
      <c r="AH45" s="161"/>
      <c r="AI45" s="161"/>
      <c r="AJ45" s="161"/>
      <c r="AK45" s="161"/>
      <c r="AL45" s="161"/>
      <c r="AM45" s="161"/>
      <c r="AN45" s="161"/>
      <c r="AO45" s="161"/>
    </row>
    <row r="46" spans="1:41" ht="15.75" customHeight="1">
      <c r="A46" s="118" t="s">
        <v>657</v>
      </c>
      <c r="B46" s="111">
        <f>('Pivot Table for Data Exchange'!$C$151)*100</f>
        <v>0</v>
      </c>
      <c r="C46" s="111">
        <f>('Pivot Table for Data Exchange'!$C$154)*100</f>
        <v>0</v>
      </c>
      <c r="D46" s="112">
        <f>SUM(E46:G46)</f>
        <v>0</v>
      </c>
      <c r="E46" s="111">
        <f>('Pivot Table for Data Exchange'!$C$157)*100</f>
        <v>0</v>
      </c>
      <c r="F46" s="111">
        <f>('Pivot Table for Data Exchange'!$C$160)*100</f>
        <v>0</v>
      </c>
      <c r="G46" s="119">
        <f>('Pivot Table for Data Exchange'!$C$163)*100</f>
        <v>0</v>
      </c>
      <c r="H46" s="120">
        <f>('Pivot Table for Data Exchange'!$C$166)*100</f>
        <v>0</v>
      </c>
      <c r="I46" s="118" t="s">
        <v>657</v>
      </c>
      <c r="J46" s="111">
        <f>('Pivot Table for Data Exchange'!$C$169)*100</f>
        <v>0</v>
      </c>
      <c r="K46" s="111">
        <f>('Pivot Table for Data Exchange'!$C$172)*100</f>
        <v>0</v>
      </c>
      <c r="L46" s="112">
        <f>SUM(M46:O46)</f>
        <v>0</v>
      </c>
      <c r="M46" s="111">
        <f>('Pivot Table for Data Exchange'!$C$175)*100</f>
        <v>0</v>
      </c>
      <c r="N46" s="111">
        <f>('Pivot Table for Data Exchange'!$C$178)*100</f>
        <v>0</v>
      </c>
      <c r="O46" s="121">
        <f>('Pivot Table for Data Exchange'!$C$181)*100</f>
        <v>0</v>
      </c>
      <c r="P46" s="114">
        <f>('Pivot Table for Data Exchange'!$C$184)*100</f>
        <v>0</v>
      </c>
      <c r="Q46" s="160">
        <f t="shared" si="3"/>
        <v>0</v>
      </c>
      <c r="R46" s="160">
        <f t="shared" si="2"/>
        <v>0</v>
      </c>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row>
    <row r="47" spans="1:41" ht="15.75" customHeight="1">
      <c r="A47" s="118" t="s">
        <v>658</v>
      </c>
      <c r="B47" s="111">
        <f>('Pivot Table for Data Exchange'!$C$187)*100</f>
        <v>94.428619159398934</v>
      </c>
      <c r="C47" s="111">
        <f>('Pivot Table for Data Exchange'!$C$190)*100</f>
        <v>1.2723172215273375</v>
      </c>
      <c r="D47" s="112">
        <f>SUM(E47:G47)</f>
        <v>4.2990636190737295</v>
      </c>
      <c r="E47" s="111">
        <f>('Pivot Table for Data Exchange'!$C$193)*100</f>
        <v>4.0329489573873865</v>
      </c>
      <c r="F47" s="111">
        <f>('Pivot Table for Data Exchange'!$C$196)*100</f>
        <v>0.14017870911365077</v>
      </c>
      <c r="G47" s="119">
        <f>('Pivot Table for Data Exchange'!$C$199)*100</f>
        <v>0.12593595257269161</v>
      </c>
      <c r="H47" s="111">
        <f>('Pivot Table for Data Exchange'!$C$202)*100</f>
        <v>0</v>
      </c>
      <c r="I47" s="118" t="s">
        <v>658</v>
      </c>
      <c r="J47" s="111">
        <f>('Pivot Table for Data Exchange'!$C$205)*100</f>
        <v>87.605312279285641</v>
      </c>
      <c r="K47" s="111">
        <f>('Pivot Table for Data Exchange'!$C$208)*100</f>
        <v>4.501311673897689</v>
      </c>
      <c r="L47" s="112">
        <f>SUM(M47:O47)</f>
        <v>7.8933760468166687</v>
      </c>
      <c r="M47" s="111">
        <f>('Pivot Table for Data Exchange'!$C$211)*100</f>
        <v>7.4557310059529813</v>
      </c>
      <c r="N47" s="111">
        <f>('Pivot Table for Data Exchange'!$C$214)*100</f>
        <v>0.21440823327615782</v>
      </c>
      <c r="O47" s="119">
        <f>('Pivot Table for Data Exchange'!$C$217)*100</f>
        <v>0.22323680758752901</v>
      </c>
      <c r="P47" s="111">
        <f>('Pivot Table for Data Exchange'!$C$220)*100</f>
        <v>0</v>
      </c>
      <c r="Q47" s="160">
        <f t="shared" si="3"/>
        <v>100</v>
      </c>
      <c r="R47" s="160">
        <f t="shared" si="2"/>
        <v>100</v>
      </c>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row>
    <row r="48" spans="1:41" ht="15.75" customHeight="1">
      <c r="A48" s="118" t="s">
        <v>659</v>
      </c>
      <c r="B48" s="111">
        <f>('Pivot Table for Data Exchange'!$C$223)*100</f>
        <v>0</v>
      </c>
      <c r="C48" s="111">
        <f>('Pivot Table for Data Exchange'!$C$226)*100</f>
        <v>0</v>
      </c>
      <c r="D48" s="112">
        <f>SUM(E48:G48)</f>
        <v>0</v>
      </c>
      <c r="E48" s="111">
        <f>('Pivot Table for Data Exchange'!$C$229)*100</f>
        <v>0</v>
      </c>
      <c r="F48" s="111">
        <f>('Pivot Table for Data Exchange'!$C$232)*100</f>
        <v>0</v>
      </c>
      <c r="G48" s="119">
        <f>('Pivot Table for Data Exchange'!$C$235)*100</f>
        <v>0</v>
      </c>
      <c r="H48" s="111">
        <f>('Pivot Table for Data Exchange'!$C$238)*100</f>
        <v>0</v>
      </c>
      <c r="I48" s="118" t="s">
        <v>659</v>
      </c>
      <c r="J48" s="111">
        <f>('Pivot Table for Data Exchange'!$C$241)*100</f>
        <v>0</v>
      </c>
      <c r="K48" s="111">
        <f>('Pivot Table for Data Exchange'!$C$244)*100</f>
        <v>0</v>
      </c>
      <c r="L48" s="112">
        <f>SUM(M48:O48)</f>
        <v>0</v>
      </c>
      <c r="M48" s="111">
        <f>('Pivot Table for Data Exchange'!$C$247)*100</f>
        <v>0</v>
      </c>
      <c r="N48" s="111">
        <f>('Pivot Table for Data Exchange'!$C$250)*100</f>
        <v>0</v>
      </c>
      <c r="O48" s="121">
        <f>('Pivot Table for Data Exchange'!$C$253)*100</f>
        <v>0</v>
      </c>
      <c r="P48" s="111">
        <f>('Pivot Table for Data Exchange'!$C$256)*100</f>
        <v>0</v>
      </c>
      <c r="Q48" s="160">
        <f t="shared" si="3"/>
        <v>0</v>
      </c>
      <c r="R48" s="160">
        <f t="shared" si="2"/>
        <v>0</v>
      </c>
      <c r="S48" s="161"/>
      <c r="T48" s="167"/>
      <c r="U48" s="161"/>
      <c r="V48" s="161"/>
      <c r="W48" s="161"/>
      <c r="X48" s="161"/>
      <c r="Y48" s="161"/>
      <c r="Z48" s="161"/>
      <c r="AA48" s="161"/>
      <c r="AB48" s="161"/>
      <c r="AC48" s="161"/>
      <c r="AD48" s="161"/>
      <c r="AE48" s="161"/>
      <c r="AF48" s="161"/>
      <c r="AG48" s="161"/>
      <c r="AH48" s="161"/>
      <c r="AI48" s="161"/>
      <c r="AJ48" s="161"/>
      <c r="AK48" s="161"/>
      <c r="AL48" s="161"/>
      <c r="AM48" s="161"/>
      <c r="AN48" s="161"/>
      <c r="AO48" s="161"/>
    </row>
    <row r="49" spans="1:41" ht="15.75" customHeight="1">
      <c r="A49" s="118" t="s">
        <v>700</v>
      </c>
      <c r="B49" s="111">
        <f>('Pivot Table for Data Exchange'!$C$259)*100</f>
        <v>96.501330050123997</v>
      </c>
      <c r="C49" s="111">
        <f>('Pivot Table for Data Exchange'!$C$262)*100</f>
        <v>2.1143167446178639</v>
      </c>
      <c r="D49" s="112">
        <f>SUM(E49:G49)</f>
        <v>1.3843532052581398</v>
      </c>
      <c r="E49" s="111">
        <f>('Pivot Table for Data Exchange'!$C$265)*100</f>
        <v>1.3411860093241144</v>
      </c>
      <c r="F49" s="120">
        <f>('Pivot Table for Data Exchange'!$C$268)*100</f>
        <v>4.3167195934025508E-2</v>
      </c>
      <c r="G49" s="121">
        <f>('Pivot Table for Data Exchange'!$C$271)*100</f>
        <v>0</v>
      </c>
      <c r="H49" s="111">
        <f>('Pivot Table for Data Exchange'!$C$274)*100</f>
        <v>0</v>
      </c>
      <c r="I49" s="118" t="s">
        <v>700</v>
      </c>
      <c r="J49" s="111">
        <f>('Pivot Table for Data Exchange'!$C$277)*100</f>
        <v>73.54490256764052</v>
      </c>
      <c r="K49" s="111">
        <f>('Pivot Table for Data Exchange'!$C$280)*100</f>
        <v>22.377662581566263</v>
      </c>
      <c r="L49" s="112">
        <f>SUM(M49:O49)</f>
        <v>4.0774348507932254</v>
      </c>
      <c r="M49" s="111">
        <f>('Pivot Table for Data Exchange'!$C$283)*100</f>
        <v>3.445026813461987</v>
      </c>
      <c r="N49" s="111">
        <f>('Pivot Table for Data Exchange'!$C$286)*100</f>
        <v>0.63240803733123807</v>
      </c>
      <c r="O49" s="119">
        <f>('Pivot Table for Data Exchange'!$C$289)*100</f>
        <v>0</v>
      </c>
      <c r="P49" s="111">
        <f>('Pivot Table for Data Exchange'!$C$292)*100</f>
        <v>0</v>
      </c>
      <c r="Q49" s="160">
        <f t="shared" si="3"/>
        <v>100</v>
      </c>
      <c r="R49" s="160">
        <f t="shared" si="2"/>
        <v>100</v>
      </c>
      <c r="S49" s="161"/>
      <c r="U49" s="161"/>
      <c r="V49" s="161"/>
      <c r="W49" s="161"/>
      <c r="X49" s="161"/>
      <c r="Y49" s="161"/>
      <c r="Z49" s="161"/>
      <c r="AA49" s="161"/>
      <c r="AB49" s="161"/>
      <c r="AC49" s="161"/>
      <c r="AD49" s="161"/>
      <c r="AE49" s="161"/>
      <c r="AF49" s="161"/>
      <c r="AG49" s="161"/>
      <c r="AH49" s="161"/>
      <c r="AI49" s="161"/>
      <c r="AJ49" s="161"/>
      <c r="AK49" s="161"/>
      <c r="AL49" s="161"/>
      <c r="AM49" s="161"/>
      <c r="AN49" s="161"/>
      <c r="AO49" s="161"/>
    </row>
    <row r="50" spans="1:41" ht="12" customHeight="1">
      <c r="A50" s="118"/>
      <c r="B50" s="111"/>
      <c r="C50" s="111"/>
      <c r="D50" s="112"/>
      <c r="E50" s="111"/>
      <c r="F50" s="111"/>
      <c r="G50" s="119"/>
      <c r="H50" s="111"/>
      <c r="I50" s="118"/>
      <c r="J50" s="111"/>
      <c r="K50" s="111"/>
      <c r="L50" s="112"/>
      <c r="M50" s="111"/>
      <c r="N50" s="111"/>
      <c r="O50" s="119"/>
      <c r="P50" s="111"/>
      <c r="Q50" s="160">
        <f t="shared" si="3"/>
        <v>0</v>
      </c>
      <c r="R50" s="160">
        <f t="shared" si="2"/>
        <v>0</v>
      </c>
      <c r="S50" s="161"/>
      <c r="U50" s="161"/>
      <c r="V50" s="161"/>
      <c r="W50" s="161"/>
      <c r="X50" s="161"/>
      <c r="Y50" s="161"/>
      <c r="Z50" s="161"/>
      <c r="AA50" s="161"/>
      <c r="AB50" s="161"/>
      <c r="AC50" s="161"/>
      <c r="AD50" s="161"/>
      <c r="AE50" s="161"/>
      <c r="AF50" s="161"/>
      <c r="AG50" s="161"/>
      <c r="AH50" s="161"/>
      <c r="AI50" s="161"/>
      <c r="AJ50" s="161"/>
      <c r="AK50" s="161"/>
      <c r="AL50" s="161"/>
      <c r="AM50" s="161"/>
      <c r="AN50" s="161"/>
      <c r="AO50" s="161"/>
    </row>
    <row r="51" spans="1:41" ht="15.75" customHeight="1">
      <c r="A51" s="118" t="s">
        <v>661</v>
      </c>
      <c r="B51" s="111">
        <f>('Pivot Table for Data Exchange'!$C$295)*100</f>
        <v>86.160152939553399</v>
      </c>
      <c r="C51" s="111">
        <f>('Pivot Table for Data Exchange'!$C$298)*100</f>
        <v>6.4582799555897168</v>
      </c>
      <c r="D51" s="112">
        <f>SUM(E51:G51)</f>
        <v>7.3815671048568827</v>
      </c>
      <c r="E51" s="111">
        <f>('Pivot Table for Data Exchange'!$C$301)*100</f>
        <v>6.972151599361438</v>
      </c>
      <c r="F51" s="111">
        <f>('Pivot Table for Data Exchange'!$C$304)*100</f>
        <v>6.2542291596865002E-2</v>
      </c>
      <c r="G51" s="119">
        <f>('Pivot Table for Data Exchange'!$C$307)*100</f>
        <v>0.346873213898579</v>
      </c>
      <c r="H51" s="111">
        <f>('Pivot Table for Data Exchange'!$C$310)*100</f>
        <v>0</v>
      </c>
      <c r="I51" s="118" t="s">
        <v>661</v>
      </c>
      <c r="J51" s="111">
        <f>('Pivot Table for Data Exchange'!$C$313)*100</f>
        <v>68.800612384674267</v>
      </c>
      <c r="K51" s="111">
        <f>('Pivot Table for Data Exchange'!$C$316)*100</f>
        <v>6.9086660489101979</v>
      </c>
      <c r="L51" s="112">
        <f>SUM(M51:O51)</f>
        <v>24.290721566415538</v>
      </c>
      <c r="M51" s="111">
        <f>('Pivot Table for Data Exchange'!$C$319)*100</f>
        <v>23.811288828008543</v>
      </c>
      <c r="N51" s="111">
        <f>('Pivot Table for Data Exchange'!$C$322)*100</f>
        <v>0.47459812255751177</v>
      </c>
      <c r="O51" s="119">
        <f>('Pivot Table for Data Exchange'!$C$325)*100</f>
        <v>4.8346158494822931E-3</v>
      </c>
      <c r="P51" s="114">
        <f>('Pivot Table for Data Exchange'!$C$328)*100</f>
        <v>0</v>
      </c>
      <c r="Q51" s="160">
        <f t="shared" si="3"/>
        <v>100</v>
      </c>
      <c r="R51" s="160">
        <f t="shared" si="2"/>
        <v>100</v>
      </c>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row>
    <row r="52" spans="1:41" ht="15.75" customHeight="1">
      <c r="A52" s="118" t="s">
        <v>662</v>
      </c>
      <c r="B52" s="111">
        <f>('Pivot Table for Data Exchange'!$C$331)*100</f>
        <v>92.782887298620267</v>
      </c>
      <c r="C52" s="111">
        <f>('Pivot Table for Data Exchange'!$C$334)*100</f>
        <v>0.25859862707048981</v>
      </c>
      <c r="D52" s="112">
        <f>SUM(E52:G52)</f>
        <v>6.9585140743092424</v>
      </c>
      <c r="E52" s="111">
        <f>('Pivot Table for Data Exchange'!$C$337)*100</f>
        <v>6.9223118863040725</v>
      </c>
      <c r="F52" s="120">
        <f>('Pivot Table for Data Exchange'!$C$340)*100</f>
        <v>0</v>
      </c>
      <c r="G52" s="119">
        <f>('Pivot Table for Data Exchange'!$C$343)*100</f>
        <v>3.6202188005170353E-2</v>
      </c>
      <c r="H52" s="111">
        <f>('Pivot Table for Data Exchange'!$C$346)*100</f>
        <v>0</v>
      </c>
      <c r="I52" s="118" t="s">
        <v>662</v>
      </c>
      <c r="J52" s="111">
        <f>('Pivot Table for Data Exchange'!$C$349)*100</f>
        <v>83.636806750849189</v>
      </c>
      <c r="K52" s="111">
        <f>('Pivot Table for Data Exchange'!$C$352)*100</f>
        <v>6.6180256203256613</v>
      </c>
      <c r="L52" s="112">
        <f>SUM(M52:O52)</f>
        <v>9.7451676288251523</v>
      </c>
      <c r="M52" s="111">
        <f>('Pivot Table for Data Exchange'!$C$355)*100</f>
        <v>9.4658116403405899</v>
      </c>
      <c r="N52" s="111">
        <f>('Pivot Table for Data Exchange'!$C$358)*100</f>
        <v>0.13312820825273033</v>
      </c>
      <c r="O52" s="121">
        <f>('Pivot Table for Data Exchange'!$C$361)*100</f>
        <v>0.14622778023183194</v>
      </c>
      <c r="P52" s="111">
        <f>('Pivot Table for Data Exchange'!$C$364)*100</f>
        <v>0</v>
      </c>
      <c r="Q52" s="160">
        <f t="shared" si="3"/>
        <v>100</v>
      </c>
      <c r="R52" s="160">
        <f t="shared" si="2"/>
        <v>100.00000000000001</v>
      </c>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row>
    <row r="53" spans="1:41" ht="15.75" customHeight="1">
      <c r="A53" s="118" t="s">
        <v>663</v>
      </c>
      <c r="B53" s="111">
        <f>('Pivot Table for Data Exchange'!$C$367)*100</f>
        <v>91.705593210701124</v>
      </c>
      <c r="C53" s="111">
        <f>('Pivot Table for Data Exchange'!$C$370)*100</f>
        <v>0.46739818428762792</v>
      </c>
      <c r="D53" s="112">
        <f>SUM(E53:G53)</f>
        <v>7.7264257089509449</v>
      </c>
      <c r="E53" s="111">
        <f>('Pivot Table for Data Exchange'!$C$373)*100</f>
        <v>7.6297579951283945</v>
      </c>
      <c r="F53" s="111">
        <f>('Pivot Table for Data Exchange'!$C$376)*100</f>
        <v>1.4821761328626414E-2</v>
      </c>
      <c r="G53" s="119">
        <f>('Pivot Table for Data Exchange'!$C$379)*100</f>
        <v>8.184595249392447E-2</v>
      </c>
      <c r="H53" s="120">
        <f>('Pivot Table for Data Exchange'!$C$382)*100</f>
        <v>0.10058289606030126</v>
      </c>
      <c r="I53" s="118" t="s">
        <v>663</v>
      </c>
      <c r="J53" s="111">
        <f>('Pivot Table for Data Exchange'!$C$385)*100</f>
        <v>76.866206007661745</v>
      </c>
      <c r="K53" s="111">
        <f>('Pivot Table for Data Exchange'!$C$388)*100</f>
        <v>8.1552158294845629</v>
      </c>
      <c r="L53" s="112">
        <f>SUM(M53:O53)</f>
        <v>14.776293962502834</v>
      </c>
      <c r="M53" s="111">
        <f>('Pivot Table for Data Exchange'!$C$391)*100</f>
        <v>13.226045135035147</v>
      </c>
      <c r="N53" s="111">
        <f>('Pivot Table for Data Exchange'!$C$394)*100</f>
        <v>0.1366462592340649</v>
      </c>
      <c r="O53" s="119">
        <f>('Pivot Table for Data Exchange'!$C$397)*100</f>
        <v>1.4136025682336233</v>
      </c>
      <c r="P53" s="111">
        <f>('Pivot Table for Data Exchange'!$C$400)*100</f>
        <v>0.20228420035086464</v>
      </c>
      <c r="Q53" s="160">
        <f t="shared" si="3"/>
        <v>100</v>
      </c>
      <c r="R53" s="160">
        <f t="shared" si="2"/>
        <v>100</v>
      </c>
      <c r="S53" s="161"/>
      <c r="T53" s="167"/>
      <c r="U53" s="161"/>
      <c r="V53" s="161"/>
      <c r="W53" s="161"/>
      <c r="X53" s="161"/>
      <c r="Y53" s="161"/>
      <c r="Z53" s="161"/>
      <c r="AA53" s="161"/>
      <c r="AB53" s="161"/>
      <c r="AC53" s="161"/>
      <c r="AD53" s="161"/>
      <c r="AE53" s="161"/>
      <c r="AF53" s="161"/>
      <c r="AG53" s="161"/>
      <c r="AH53" s="161"/>
      <c r="AI53" s="161"/>
      <c r="AJ53" s="161"/>
      <c r="AK53" s="161"/>
      <c r="AL53" s="161"/>
      <c r="AM53" s="161"/>
      <c r="AN53" s="161"/>
      <c r="AO53" s="161"/>
    </row>
    <row r="54" spans="1:41" ht="15.75" customHeight="1">
      <c r="A54" s="118" t="s">
        <v>664</v>
      </c>
      <c r="B54" s="111">
        <f>('Pivot Table for Data Exchange'!$C$403)*100</f>
        <v>94.047408375005247</v>
      </c>
      <c r="C54" s="111">
        <f>('Pivot Table for Data Exchange'!$C$406)*100</f>
        <v>2.0681187526339508</v>
      </c>
      <c r="D54" s="112">
        <f>SUM(E54:G54)</f>
        <v>3.8844728723608042</v>
      </c>
      <c r="E54" s="111">
        <f>('Pivot Table for Data Exchange'!$C$409)*100</f>
        <v>3.4656861224780204</v>
      </c>
      <c r="F54" s="111">
        <f>('Pivot Table for Data Exchange'!$C$412)*100</f>
        <v>0.31981405904792837</v>
      </c>
      <c r="G54" s="119">
        <f>('Pivot Table for Data Exchange'!$C$415)*100</f>
        <v>9.8972690834855173E-2</v>
      </c>
      <c r="H54" s="111">
        <f>('Pivot Table for Data Exchange'!$C$418)*100</f>
        <v>0</v>
      </c>
      <c r="I54" s="118" t="s">
        <v>664</v>
      </c>
      <c r="J54" s="111">
        <f>('Pivot Table for Data Exchange'!$C$421)*100</f>
        <v>69.357702733939945</v>
      </c>
      <c r="K54" s="111">
        <f>('Pivot Table for Data Exchange'!$C$424)*100</f>
        <v>10.86798915670246</v>
      </c>
      <c r="L54" s="112">
        <f>SUM(M54:O54)</f>
        <v>19.774308109357598</v>
      </c>
      <c r="M54" s="111">
        <f>('Pivot Table for Data Exchange'!$C$427)*100</f>
        <v>18.342194296761722</v>
      </c>
      <c r="N54" s="120">
        <f>('Pivot Table for Data Exchange'!$C$430)*100</f>
        <v>0.2490175888372875</v>
      </c>
      <c r="O54" s="119">
        <f>('Pivot Table for Data Exchange'!$C$433)*100</f>
        <v>1.1830962237585896</v>
      </c>
      <c r="P54" s="111">
        <f>('Pivot Table for Data Exchange'!$C$436)*100</f>
        <v>0</v>
      </c>
      <c r="Q54" s="160">
        <f t="shared" si="3"/>
        <v>100</v>
      </c>
      <c r="R54" s="160">
        <f t="shared" si="2"/>
        <v>100</v>
      </c>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row>
    <row r="55" spans="1:41" ht="14.25" customHeight="1">
      <c r="A55" s="118"/>
      <c r="B55" s="111"/>
      <c r="C55" s="111"/>
      <c r="D55" s="112"/>
      <c r="E55" s="111"/>
      <c r="F55" s="111"/>
      <c r="G55" s="119"/>
      <c r="H55" s="111"/>
      <c r="I55" s="118"/>
      <c r="J55" s="111"/>
      <c r="K55" s="111"/>
      <c r="L55" s="112"/>
      <c r="M55" s="111"/>
      <c r="N55" s="111"/>
      <c r="O55" s="119"/>
      <c r="P55" s="111"/>
      <c r="Q55" s="160">
        <f t="shared" si="3"/>
        <v>0</v>
      </c>
      <c r="R55" s="160">
        <f t="shared" si="2"/>
        <v>0</v>
      </c>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row>
    <row r="56" spans="1:41" ht="15.75" customHeight="1">
      <c r="A56" s="118" t="s">
        <v>665</v>
      </c>
      <c r="B56" s="111">
        <f>('Pivot Table for Data Exchange'!$C$439)*100</f>
        <v>84.754477355785724</v>
      </c>
      <c r="C56" s="111">
        <f>('Pivot Table for Data Exchange'!$C$442)*100</f>
        <v>0.88527469864922159</v>
      </c>
      <c r="D56" s="112">
        <f>SUM(E56:G56)</f>
        <v>14.029418297090476</v>
      </c>
      <c r="E56" s="111">
        <f>('Pivot Table for Data Exchange'!$C$445)*100</f>
        <v>4.3332929513194829</v>
      </c>
      <c r="F56" s="111">
        <f>('Pivot Table for Data Exchange'!$C$448)*100</f>
        <v>0.11710784016798917</v>
      </c>
      <c r="G56" s="119">
        <f>('Pivot Table for Data Exchange'!$C$451)*100</f>
        <v>9.5790175056030051</v>
      </c>
      <c r="H56" s="111">
        <f>('Pivot Table for Data Exchange'!$C$454)*100</f>
        <v>0.33082964847456942</v>
      </c>
      <c r="I56" s="118" t="s">
        <v>665</v>
      </c>
      <c r="J56" s="111">
        <f>('Pivot Table for Data Exchange'!$C$457)*100</f>
        <v>77.323203354928495</v>
      </c>
      <c r="K56" s="111">
        <f>('Pivot Table for Data Exchange'!$C$460)*100</f>
        <v>5.3685437842615489</v>
      </c>
      <c r="L56" s="112">
        <f>SUM(M56:O56)</f>
        <v>14.504330001598479</v>
      </c>
      <c r="M56" s="111">
        <f>('Pivot Table for Data Exchange'!$C$463)*100</f>
        <v>8.0901919116886525</v>
      </c>
      <c r="N56" s="111">
        <f>('Pivot Table for Data Exchange'!$C$466)*100</f>
        <v>5.9237806884749555E-2</v>
      </c>
      <c r="O56" s="119">
        <f>('Pivot Table for Data Exchange'!$C$469)*100</f>
        <v>6.3549002830250778</v>
      </c>
      <c r="P56" s="111">
        <f>('Pivot Table for Data Exchange'!$C$472)*100</f>
        <v>2.8039228592114789</v>
      </c>
      <c r="Q56" s="160">
        <f t="shared" si="3"/>
        <v>99.999999999999986</v>
      </c>
      <c r="R56" s="160">
        <f t="shared" si="2"/>
        <v>100</v>
      </c>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row>
    <row r="57" spans="1:41" ht="15.75" customHeight="1">
      <c r="A57" s="118" t="s">
        <v>666</v>
      </c>
      <c r="B57" s="111">
        <f>('Pivot Table for Data Exchange'!$C$475)*100</f>
        <v>92.168230010142452</v>
      </c>
      <c r="C57" s="111">
        <f>('Pivot Table for Data Exchange'!$C$478)*100</f>
        <v>0.6054820008063202</v>
      </c>
      <c r="D57" s="112">
        <f>SUM(E57:G57)</f>
        <v>7.2262879890512268</v>
      </c>
      <c r="E57" s="111">
        <f>('Pivot Table for Data Exchange'!$C$481)*100</f>
        <v>6.6356243172879523</v>
      </c>
      <c r="F57" s="111">
        <f>('Pivot Table for Data Exchange'!$C$484)*100</f>
        <v>9.5274632055423279E-3</v>
      </c>
      <c r="G57" s="119">
        <f>('Pivot Table for Data Exchange'!$C$487)*100</f>
        <v>0.58113620855773152</v>
      </c>
      <c r="H57" s="111">
        <f>('Pivot Table for Data Exchange'!$C$490)*100</f>
        <v>0</v>
      </c>
      <c r="I57" s="118" t="s">
        <v>666</v>
      </c>
      <c r="J57" s="111">
        <f>('Pivot Table for Data Exchange'!$C$493)*100</f>
        <v>86.98277661222113</v>
      </c>
      <c r="K57" s="111">
        <f>('Pivot Table for Data Exchange'!$C$496)*100</f>
        <v>2.1363554813504835</v>
      </c>
      <c r="L57" s="112">
        <f>SUM(M57:O57)</f>
        <v>10.88086790642838</v>
      </c>
      <c r="M57" s="111">
        <f>('Pivot Table for Data Exchange'!$C$499)*100</f>
        <v>10.261993943987376</v>
      </c>
      <c r="N57" s="111">
        <f>('Pivot Table for Data Exchange'!$C$502)*100</f>
        <v>5.4829981290069829E-2</v>
      </c>
      <c r="O57" s="119">
        <f>('Pivot Table for Data Exchange'!$C$505)*100</f>
        <v>0.56404398115093535</v>
      </c>
      <c r="P57" s="111">
        <f>('Pivot Table for Data Exchange'!$C$508)*100</f>
        <v>0</v>
      </c>
      <c r="Q57" s="160">
        <f t="shared" si="3"/>
        <v>100</v>
      </c>
      <c r="R57" s="160">
        <f t="shared" si="2"/>
        <v>99.999999999999986</v>
      </c>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row>
    <row r="58" spans="1:41" ht="15.75" customHeight="1">
      <c r="A58" s="118" t="s">
        <v>667</v>
      </c>
      <c r="B58" s="111">
        <f>('Pivot Table for Data Exchange'!$C$511)*100</f>
        <v>93.73494605303901</v>
      </c>
      <c r="C58" s="111">
        <f>('Pivot Table for Data Exchange'!$C$514)*100</f>
        <v>2.3933836193857667</v>
      </c>
      <c r="D58" s="112">
        <f>SUM(E58:G58)</f>
        <v>3.8716703275752256</v>
      </c>
      <c r="E58" s="111">
        <f>('Pivot Table for Data Exchange'!$C$517)*100</f>
        <v>2.2464635712622512</v>
      </c>
      <c r="F58" s="111">
        <f>('Pivot Table for Data Exchange'!$C$520)*100</f>
        <v>1.6252067563129742</v>
      </c>
      <c r="G58" s="119">
        <f>('Pivot Table for Data Exchange'!$C$523)*100</f>
        <v>0</v>
      </c>
      <c r="H58" s="111">
        <f>('Pivot Table for Data Exchange'!$C$526)*100</f>
        <v>0</v>
      </c>
      <c r="I58" s="118" t="s">
        <v>667</v>
      </c>
      <c r="J58" s="111">
        <f>('Pivot Table for Data Exchange'!$C$529)*100</f>
        <v>79.475183502477222</v>
      </c>
      <c r="K58" s="111">
        <f>('Pivot Table for Data Exchange'!$C$532)*100</f>
        <v>11.207394181734827</v>
      </c>
      <c r="L58" s="112">
        <f>SUM(M58:O58)</f>
        <v>9.317422315787951</v>
      </c>
      <c r="M58" s="111">
        <f>('Pivot Table for Data Exchange'!$C$535)*100</f>
        <v>6.1789672229301225</v>
      </c>
      <c r="N58" s="111">
        <f>('Pivot Table for Data Exchange'!$C$538)*100</f>
        <v>3.138455092857829</v>
      </c>
      <c r="O58" s="119">
        <f>('Pivot Table for Data Exchange'!$C$541)*100</f>
        <v>0</v>
      </c>
      <c r="P58" s="111">
        <f>('Pivot Table for Data Exchange'!$C$544)*100</f>
        <v>0</v>
      </c>
      <c r="Q58" s="160">
        <f t="shared" si="3"/>
        <v>100.00000000000001</v>
      </c>
      <c r="R58" s="160">
        <f t="shared" si="2"/>
        <v>100</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row>
    <row r="59" spans="1:41" ht="15.75" customHeight="1">
      <c r="A59" s="91" t="s">
        <v>668</v>
      </c>
      <c r="B59" s="122">
        <f>('Pivot Table for Data Exchange'!$C$547)*100</f>
        <v>93.283710603437413</v>
      </c>
      <c r="C59" s="122">
        <f>('Pivot Table for Data Exchange'!$C$550)*100</f>
        <v>0.1806652787473054</v>
      </c>
      <c r="D59" s="123">
        <f>SUM(E59:G59)</f>
        <v>6.5356241178152876</v>
      </c>
      <c r="E59" s="122">
        <f>('Pivot Table for Data Exchange'!$C$553)*100</f>
        <v>6.1352391085744511</v>
      </c>
      <c r="F59" s="122">
        <f>('Pivot Table for Data Exchange'!$C$556)*100</f>
        <v>0</v>
      </c>
      <c r="G59" s="124">
        <f>('Pivot Table for Data Exchange'!$C$559)*100</f>
        <v>0.40038500924083681</v>
      </c>
      <c r="H59" s="125">
        <f>('Pivot Table for Data Exchange'!$C$562)*100</f>
        <v>0</v>
      </c>
      <c r="I59" s="91" t="s">
        <v>668</v>
      </c>
      <c r="J59" s="122">
        <f>('Pivot Table for Data Exchange'!$C$565)*100</f>
        <v>66.191904715276351</v>
      </c>
      <c r="K59" s="122">
        <f>('Pivot Table for Data Exchange'!$C$568)*100</f>
        <v>9.4759518235309823</v>
      </c>
      <c r="L59" s="123">
        <f>SUM(M59:O59)</f>
        <v>24.332143461192661</v>
      </c>
      <c r="M59" s="122">
        <f>('Pivot Table for Data Exchange'!$C$571)*100</f>
        <v>21.788012854179833</v>
      </c>
      <c r="N59" s="122">
        <f>('Pivot Table for Data Exchange'!$C$574)*100</f>
        <v>2.1319778879621141</v>
      </c>
      <c r="O59" s="124">
        <f>('Pivot Table for Data Exchange'!$C$577)*100</f>
        <v>0.41215271905071349</v>
      </c>
      <c r="P59" s="122">
        <f>('Pivot Table for Data Exchange'!$C$580)*100</f>
        <v>0</v>
      </c>
      <c r="Q59" s="160">
        <f t="shared" si="3"/>
        <v>100</v>
      </c>
      <c r="R59" s="160">
        <f t="shared" si="2"/>
        <v>99.999999999999986</v>
      </c>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row>
    <row r="60" spans="1:41" s="166" customFormat="1" ht="18" customHeight="1">
      <c r="A60" s="58" t="s">
        <v>697</v>
      </c>
      <c r="B60" s="126"/>
      <c r="C60" s="126"/>
      <c r="D60" s="127"/>
      <c r="E60" s="126"/>
      <c r="F60" s="127"/>
      <c r="G60" s="127"/>
      <c r="H60" s="126"/>
      <c r="I60" s="58" t="s">
        <v>697</v>
      </c>
      <c r="J60" s="126"/>
      <c r="K60" s="126"/>
      <c r="L60" s="127"/>
      <c r="M60" s="126"/>
      <c r="N60" s="127"/>
      <c r="O60" s="127"/>
      <c r="P60" s="126"/>
      <c r="Q60" s="160">
        <f t="shared" si="3"/>
        <v>0</v>
      </c>
      <c r="R60" s="160">
        <f t="shared" si="2"/>
        <v>0</v>
      </c>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row>
    <row r="61" spans="1:41" s="166" customFormat="1" ht="24" customHeight="1">
      <c r="A61" s="649" t="s">
        <v>701</v>
      </c>
      <c r="B61" s="650"/>
      <c r="C61" s="650"/>
      <c r="D61" s="650"/>
      <c r="E61" s="650"/>
      <c r="F61" s="650"/>
      <c r="G61" s="650"/>
      <c r="H61" s="650"/>
      <c r="I61" s="649" t="s">
        <v>701</v>
      </c>
      <c r="J61" s="650"/>
      <c r="K61" s="650"/>
      <c r="L61" s="650"/>
      <c r="M61" s="650"/>
      <c r="N61" s="650"/>
      <c r="O61" s="650"/>
      <c r="P61" s="650"/>
      <c r="Q61" s="160">
        <f t="shared" si="3"/>
        <v>0</v>
      </c>
      <c r="R61" s="160">
        <f t="shared" si="2"/>
        <v>0</v>
      </c>
    </row>
    <row r="62" spans="1:41" s="166" customFormat="1" ht="13.5" customHeight="1">
      <c r="A62" s="643"/>
      <c r="B62" s="644"/>
      <c r="C62" s="644"/>
      <c r="D62" s="644"/>
      <c r="E62" s="644"/>
      <c r="F62" s="644"/>
      <c r="G62" s="644"/>
      <c r="H62" s="644"/>
      <c r="I62" s="643"/>
      <c r="J62" s="644"/>
      <c r="K62" s="644"/>
      <c r="L62" s="644"/>
      <c r="M62" s="644"/>
      <c r="N62" s="644"/>
      <c r="O62" s="644"/>
      <c r="P62" s="644"/>
      <c r="Q62" s="160">
        <f t="shared" si="3"/>
        <v>0</v>
      </c>
      <c r="R62" s="160">
        <f t="shared" si="2"/>
        <v>0</v>
      </c>
    </row>
    <row r="63" spans="1:41" s="166" customFormat="1" ht="13.5" customHeight="1">
      <c r="A63" s="60"/>
      <c r="B63" s="60"/>
      <c r="C63" s="60"/>
      <c r="D63" s="60"/>
      <c r="E63" s="60"/>
      <c r="F63" s="60"/>
      <c r="G63" s="60"/>
      <c r="H63" s="64" t="s">
        <v>1034</v>
      </c>
      <c r="I63" s="60"/>
      <c r="J63" s="60"/>
      <c r="K63" s="60"/>
      <c r="L63" s="60"/>
      <c r="M63" s="60"/>
      <c r="N63" s="60"/>
      <c r="O63" s="60"/>
      <c r="P63" s="64" t="s">
        <v>1034</v>
      </c>
      <c r="Q63" s="160">
        <f t="shared" si="3"/>
        <v>0</v>
      </c>
      <c r="R63" s="160">
        <f t="shared" si="2"/>
        <v>0</v>
      </c>
    </row>
    <row r="64" spans="1:41" ht="18">
      <c r="A64" s="31" t="s">
        <v>1013</v>
      </c>
      <c r="B64" s="86"/>
      <c r="C64" s="86"/>
      <c r="D64" s="86"/>
      <c r="E64" s="86"/>
      <c r="F64" s="86"/>
      <c r="G64" s="86"/>
      <c r="H64" s="87"/>
      <c r="I64" s="31" t="s">
        <v>1028</v>
      </c>
      <c r="J64" s="38"/>
      <c r="K64" s="38"/>
      <c r="L64" s="86"/>
      <c r="M64" s="38"/>
      <c r="N64" s="38"/>
      <c r="O64" s="38"/>
      <c r="P64" s="38"/>
      <c r="Q64" s="160">
        <f t="shared" si="3"/>
        <v>0</v>
      </c>
      <c r="R64" s="160">
        <f t="shared" si="2"/>
        <v>0</v>
      </c>
    </row>
    <row r="65" spans="1:41">
      <c r="A65" s="37"/>
      <c r="B65" s="38"/>
      <c r="C65" s="38"/>
      <c r="D65" s="38"/>
      <c r="E65" s="38"/>
      <c r="F65" s="38"/>
      <c r="G65" s="38"/>
      <c r="H65" s="88"/>
      <c r="I65" s="37"/>
      <c r="J65" s="38"/>
      <c r="K65" s="38"/>
      <c r="L65" s="38"/>
      <c r="M65" s="38"/>
      <c r="N65" s="38"/>
      <c r="O65" s="38"/>
      <c r="P65" s="38"/>
      <c r="Q65" s="160">
        <f t="shared" si="3"/>
        <v>0</v>
      </c>
      <c r="R65" s="160">
        <f t="shared" si="2"/>
        <v>0</v>
      </c>
    </row>
    <row r="66" spans="1:41" ht="15.75">
      <c r="A66" s="89" t="s">
        <v>683</v>
      </c>
      <c r="B66" s="38"/>
      <c r="C66" s="38"/>
      <c r="D66" s="38"/>
      <c r="E66" s="38"/>
      <c r="F66" s="38"/>
      <c r="G66" s="38"/>
      <c r="H66" s="88"/>
      <c r="I66" s="89" t="s">
        <v>684</v>
      </c>
      <c r="J66" s="38"/>
      <c r="K66" s="38"/>
      <c r="L66" s="38"/>
      <c r="M66" s="38"/>
      <c r="N66" s="38"/>
      <c r="O66" s="38"/>
      <c r="P66" s="38"/>
      <c r="Q66" s="160">
        <f t="shared" si="3"/>
        <v>0</v>
      </c>
      <c r="R66" s="160">
        <f t="shared" si="2"/>
        <v>0</v>
      </c>
    </row>
    <row r="67" spans="1:41" ht="15.75">
      <c r="A67" s="89" t="s">
        <v>986</v>
      </c>
      <c r="B67" s="38"/>
      <c r="C67" s="38"/>
      <c r="D67" s="38"/>
      <c r="E67" s="38"/>
      <c r="F67" s="38"/>
      <c r="G67" s="38"/>
      <c r="H67" s="88"/>
      <c r="I67" s="89" t="s">
        <v>986</v>
      </c>
      <c r="J67" s="38"/>
      <c r="K67" s="38"/>
      <c r="L67" s="38"/>
      <c r="M67" s="38"/>
      <c r="N67" s="38"/>
      <c r="O67" s="38"/>
      <c r="P67" s="38"/>
      <c r="Q67" s="160">
        <f t="shared" si="3"/>
        <v>0</v>
      </c>
      <c r="R67" s="160">
        <f t="shared" si="2"/>
        <v>0</v>
      </c>
    </row>
    <row r="68" spans="1:41">
      <c r="A68" s="91"/>
      <c r="B68" s="92"/>
      <c r="C68" s="92"/>
      <c r="D68" s="92"/>
      <c r="E68" s="92"/>
      <c r="F68" s="92"/>
      <c r="G68" s="92"/>
      <c r="H68" s="92"/>
      <c r="I68" s="93"/>
      <c r="L68" s="94"/>
      <c r="P68" s="91"/>
      <c r="Q68" s="160">
        <f t="shared" si="3"/>
        <v>0</v>
      </c>
      <c r="R68" s="160">
        <f t="shared" si="2"/>
        <v>0</v>
      </c>
    </row>
    <row r="69" spans="1:41" s="109" customFormat="1">
      <c r="A69" s="95"/>
      <c r="B69" s="96" t="s">
        <v>685</v>
      </c>
      <c r="C69" s="96"/>
      <c r="D69" s="96"/>
      <c r="E69" s="96"/>
      <c r="F69" s="96"/>
      <c r="G69" s="96"/>
      <c r="H69" s="97"/>
      <c r="I69" s="95"/>
      <c r="J69" s="96" t="s">
        <v>685</v>
      </c>
      <c r="K69" s="96"/>
      <c r="L69" s="96"/>
      <c r="M69" s="96"/>
      <c r="N69" s="96"/>
      <c r="O69" s="96"/>
      <c r="P69" s="97"/>
      <c r="Q69" s="160">
        <f t="shared" si="3"/>
        <v>0</v>
      </c>
      <c r="R69" s="160">
        <f t="shared" si="2"/>
        <v>0</v>
      </c>
    </row>
    <row r="70" spans="1:41" s="109" customFormat="1">
      <c r="A70" s="95"/>
      <c r="B70" s="96" t="s">
        <v>686</v>
      </c>
      <c r="C70" s="96"/>
      <c r="D70" s="647" t="s">
        <v>687</v>
      </c>
      <c r="E70" s="648"/>
      <c r="F70" s="648"/>
      <c r="G70" s="648"/>
      <c r="H70" s="101" t="s">
        <v>59</v>
      </c>
      <c r="I70" s="95"/>
      <c r="J70" s="96" t="s">
        <v>686</v>
      </c>
      <c r="K70" s="96"/>
      <c r="L70" s="647" t="s">
        <v>687</v>
      </c>
      <c r="M70" s="648"/>
      <c r="N70" s="648"/>
      <c r="O70" s="648"/>
      <c r="P70" s="101" t="s">
        <v>59</v>
      </c>
      <c r="Q70" s="160">
        <f t="shared" si="3"/>
        <v>0</v>
      </c>
      <c r="R70" s="160">
        <f t="shared" si="2"/>
        <v>0</v>
      </c>
    </row>
    <row r="71" spans="1:41" s="109" customFormat="1" ht="40.5" customHeight="1">
      <c r="A71" s="95"/>
      <c r="B71" s="102" t="s">
        <v>688</v>
      </c>
      <c r="C71" s="103" t="s">
        <v>689</v>
      </c>
      <c r="D71" s="104" t="s">
        <v>690</v>
      </c>
      <c r="E71" s="105" t="s">
        <v>9</v>
      </c>
      <c r="F71" s="102" t="s">
        <v>691</v>
      </c>
      <c r="G71" s="106" t="s">
        <v>692</v>
      </c>
      <c r="H71" s="107" t="s">
        <v>693</v>
      </c>
      <c r="I71" s="95"/>
      <c r="J71" s="102" t="s">
        <v>688</v>
      </c>
      <c r="K71" s="103" t="s">
        <v>689</v>
      </c>
      <c r="L71" s="104" t="s">
        <v>690</v>
      </c>
      <c r="M71" s="105" t="s">
        <v>9</v>
      </c>
      <c r="N71" s="102" t="s">
        <v>691</v>
      </c>
      <c r="O71" s="106" t="s">
        <v>692</v>
      </c>
      <c r="P71" s="107" t="s">
        <v>693</v>
      </c>
      <c r="Q71" s="160">
        <f t="shared" si="3"/>
        <v>0</v>
      </c>
      <c r="R71" s="160">
        <f t="shared" si="2"/>
        <v>0</v>
      </c>
      <c r="T71" s="108"/>
    </row>
    <row r="72" spans="1:41" ht="15.75" customHeight="1">
      <c r="A72" s="115" t="s">
        <v>653</v>
      </c>
      <c r="B72" s="111">
        <f>('Pivot Table for Data Exchange'!$D$7)*100</f>
        <v>98.763822402692142</v>
      </c>
      <c r="C72" s="111">
        <f>('Pivot Table for Data Exchange'!$D$10)*100</f>
        <v>0</v>
      </c>
      <c r="D72" s="112">
        <f>SUM(E72:G72)</f>
        <v>1.2361775973078521</v>
      </c>
      <c r="E72" s="111">
        <f>('Pivot Table for Data Exchange'!$D$13)*100</f>
        <v>1.2324523006811083</v>
      </c>
      <c r="F72" s="111">
        <f>('Pivot Table for Data Exchange'!$D$16)*100</f>
        <v>3.7252966267439045E-3</v>
      </c>
      <c r="G72" s="113">
        <f>('Pivot Table for Data Exchange'!$D$19)*100</f>
        <v>0</v>
      </c>
      <c r="H72" s="111">
        <f>('Pivot Table for Data Exchange'!$D$22)*100</f>
        <v>0</v>
      </c>
      <c r="I72" s="115" t="s">
        <v>653</v>
      </c>
      <c r="J72" s="111">
        <f>('Pivot Table for Data Exchange'!$D$25)*100</f>
        <v>83.691690962099131</v>
      </c>
      <c r="K72" s="111">
        <f>('Pivot Table for Data Exchange'!$D$28)*100</f>
        <v>0</v>
      </c>
      <c r="L72" s="112">
        <f>SUM(M72:O72)</f>
        <v>16.308309037900869</v>
      </c>
      <c r="M72" s="111">
        <f>('Pivot Table for Data Exchange'!$D$31)*100</f>
        <v>16.10331632653061</v>
      </c>
      <c r="N72" s="111">
        <f>('Pivot Table for Data Exchange'!$D$34)*100</f>
        <v>0.15032798833819241</v>
      </c>
      <c r="O72" s="113">
        <f>('Pivot Table for Data Exchange'!$D$37)*100</f>
        <v>5.466472303206997E-2</v>
      </c>
      <c r="P72" s="111">
        <f>('Pivot Table for Data Exchange'!$D$40)*100</f>
        <v>0</v>
      </c>
      <c r="Q72" s="160">
        <f t="shared" si="3"/>
        <v>100</v>
      </c>
      <c r="R72" s="160">
        <f t="shared" si="2"/>
        <v>100</v>
      </c>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row>
    <row r="73" spans="1:41" ht="15.75" customHeight="1">
      <c r="A73" s="118" t="s">
        <v>654</v>
      </c>
      <c r="B73" s="111">
        <f>('Pivot Table for Data Exchange'!$D$43)*100</f>
        <v>0</v>
      </c>
      <c r="C73" s="111">
        <f>('Pivot Table for Data Exchange'!$D$46)*100</f>
        <v>0</v>
      </c>
      <c r="D73" s="112">
        <f>SUM(E73:G73)</f>
        <v>0</v>
      </c>
      <c r="E73" s="111">
        <f>('Pivot Table for Data Exchange'!$D$49)*100</f>
        <v>0</v>
      </c>
      <c r="F73" s="111">
        <f>('Pivot Table for Data Exchange'!$D$52)*100</f>
        <v>0</v>
      </c>
      <c r="G73" s="119">
        <f>('Pivot Table for Data Exchange'!$D$55)*100</f>
        <v>0</v>
      </c>
      <c r="H73" s="111">
        <f>('Pivot Table for Data Exchange'!$D$58)*100</f>
        <v>0</v>
      </c>
      <c r="I73" s="118" t="s">
        <v>654</v>
      </c>
      <c r="J73" s="111">
        <f>('Pivot Table for Data Exchange'!$D$61)*100</f>
        <v>0</v>
      </c>
      <c r="K73" s="111">
        <f>('Pivot Table for Data Exchange'!$D$64)*100</f>
        <v>0</v>
      </c>
      <c r="L73" s="112">
        <f>SUM(M73:O73)</f>
        <v>0</v>
      </c>
      <c r="M73" s="111">
        <f>('Pivot Table for Data Exchange'!$D$67)*100</f>
        <v>0</v>
      </c>
      <c r="N73" s="111">
        <f>('Pivot Table for Data Exchange'!$D$70)*100</f>
        <v>0</v>
      </c>
      <c r="O73" s="119">
        <f>('Pivot Table for Data Exchange'!$D$73)*100</f>
        <v>0</v>
      </c>
      <c r="P73" s="111">
        <f>('Pivot Table for Data Exchange'!$D$76)*100</f>
        <v>0</v>
      </c>
      <c r="Q73" s="160">
        <f t="shared" si="3"/>
        <v>0</v>
      </c>
      <c r="R73" s="160">
        <f t="shared" si="2"/>
        <v>0</v>
      </c>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row>
    <row r="74" spans="1:41" ht="15.75" customHeight="1">
      <c r="A74" s="118" t="s">
        <v>655</v>
      </c>
      <c r="B74" s="111">
        <f>('Pivot Table for Data Exchange'!$D$79)*100</f>
        <v>0</v>
      </c>
      <c r="C74" s="111">
        <f>('Pivot Table for Data Exchange'!$D$82)*100</f>
        <v>0</v>
      </c>
      <c r="D74" s="112">
        <f>SUM(E74:G74)</f>
        <v>0</v>
      </c>
      <c r="E74" s="111">
        <f>('Pivot Table for Data Exchange'!$D$85)*100</f>
        <v>0</v>
      </c>
      <c r="F74" s="111">
        <f>('Pivot Table for Data Exchange'!$D$88)*100</f>
        <v>0</v>
      </c>
      <c r="G74" s="119">
        <f>('Pivot Table for Data Exchange'!$D$91)*100</f>
        <v>0</v>
      </c>
      <c r="H74" s="111">
        <f>('Pivot Table for Data Exchange'!$D$94)*100</f>
        <v>0</v>
      </c>
      <c r="I74" s="118" t="s">
        <v>655</v>
      </c>
      <c r="J74" s="111">
        <f>('Pivot Table for Data Exchange'!$D$97)*100</f>
        <v>0</v>
      </c>
      <c r="K74" s="111">
        <f>('Pivot Table for Data Exchange'!$D$100)*100</f>
        <v>0</v>
      </c>
      <c r="L74" s="112">
        <f>SUM(M74:O74)</f>
        <v>0</v>
      </c>
      <c r="M74" s="111">
        <f>('Pivot Table for Data Exchange'!$D$103)*100</f>
        <v>0</v>
      </c>
      <c r="N74" s="111">
        <f>('Pivot Table for Data Exchange'!$D$106)*100</f>
        <v>0</v>
      </c>
      <c r="O74" s="119">
        <f>('Pivot Table for Data Exchange'!$D$109)*100</f>
        <v>0</v>
      </c>
      <c r="P74" s="111">
        <f>('Pivot Table for Data Exchange'!$D$112)*100</f>
        <v>0</v>
      </c>
      <c r="Q74" s="160">
        <f t="shared" si="3"/>
        <v>0</v>
      </c>
      <c r="R74" s="160">
        <f t="shared" si="2"/>
        <v>0</v>
      </c>
      <c r="S74" s="161"/>
      <c r="T74" s="167"/>
      <c r="U74" s="161"/>
      <c r="V74" s="161"/>
      <c r="W74" s="161"/>
      <c r="X74" s="161"/>
      <c r="Y74" s="161"/>
      <c r="Z74" s="161"/>
      <c r="AA74" s="161"/>
      <c r="AB74" s="161"/>
      <c r="AC74" s="161"/>
      <c r="AD74" s="161"/>
      <c r="AE74" s="161"/>
      <c r="AF74" s="161"/>
      <c r="AG74" s="161"/>
      <c r="AH74" s="161"/>
      <c r="AI74" s="161"/>
      <c r="AJ74" s="161"/>
      <c r="AK74" s="161"/>
      <c r="AL74" s="161"/>
      <c r="AM74" s="161"/>
      <c r="AN74" s="161"/>
      <c r="AO74" s="161"/>
    </row>
    <row r="75" spans="1:41" ht="15.75" customHeight="1">
      <c r="A75" s="118" t="s">
        <v>695</v>
      </c>
      <c r="B75" s="111">
        <f>('Pivot Table for Data Exchange'!$D$115)*100</f>
        <v>74.551544538655108</v>
      </c>
      <c r="C75" s="111">
        <f>('Pivot Table for Data Exchange'!$D$118)*100</f>
        <v>18.952712478188815</v>
      </c>
      <c r="D75" s="112">
        <f>SUM(E75:G75)</f>
        <v>6.4957429831560667</v>
      </c>
      <c r="E75" s="111">
        <f>('Pivot Table for Data Exchange'!$D$121)*100</f>
        <v>5.7634133295921854</v>
      </c>
      <c r="F75" s="111">
        <f>('Pivot Table for Data Exchange'!$D$124)*100</f>
        <v>0.32793497417731288</v>
      </c>
      <c r="G75" s="119">
        <f>('Pivot Table for Data Exchange'!$D$127)*100</f>
        <v>0.4043946793865687</v>
      </c>
      <c r="H75" s="111">
        <f>('Pivot Table for Data Exchange'!$D$130)*100</f>
        <v>0</v>
      </c>
      <c r="I75" s="118" t="s">
        <v>695</v>
      </c>
      <c r="J75" s="111">
        <f>('Pivot Table for Data Exchange'!$D$133)*100</f>
        <v>57.32067954317673</v>
      </c>
      <c r="K75" s="111">
        <f>('Pivot Table for Data Exchange'!$D$136)*100</f>
        <v>18.354594835372868</v>
      </c>
      <c r="L75" s="112">
        <f>SUM(M75:O75)</f>
        <v>24.324725621450401</v>
      </c>
      <c r="M75" s="111">
        <f>('Pivot Table for Data Exchange'!$D$139)*100</f>
        <v>21.87851866516537</v>
      </c>
      <c r="N75" s="111">
        <f>('Pivot Table for Data Exchange'!$D$142)*100</f>
        <v>0.97625558346428432</v>
      </c>
      <c r="O75" s="119">
        <f>('Pivot Table for Data Exchange'!$D$145)*100</f>
        <v>1.4699513728207476</v>
      </c>
      <c r="P75" s="111">
        <f>('Pivot Table for Data Exchange'!$D$148)*100</f>
        <v>0</v>
      </c>
      <c r="Q75" s="160">
        <f t="shared" ref="Q75:Q138" si="4">SUM(B75,C75,D75,H75)</f>
        <v>99.999999999999986</v>
      </c>
      <c r="R75" s="160">
        <f t="shared" ref="R75:R138" si="5">SUM(J75,K75,L75,P75)</f>
        <v>100</v>
      </c>
      <c r="S75" s="161"/>
      <c r="U75" s="161"/>
      <c r="V75" s="161"/>
      <c r="W75" s="161"/>
      <c r="X75" s="161"/>
      <c r="Y75" s="161"/>
      <c r="Z75" s="161"/>
      <c r="AA75" s="161"/>
      <c r="AB75" s="161"/>
      <c r="AC75" s="161"/>
      <c r="AD75" s="161"/>
      <c r="AE75" s="161"/>
      <c r="AF75" s="161"/>
      <c r="AG75" s="161"/>
      <c r="AH75" s="161"/>
      <c r="AI75" s="161"/>
      <c r="AJ75" s="161"/>
      <c r="AK75" s="161"/>
      <c r="AL75" s="161"/>
      <c r="AM75" s="161"/>
      <c r="AN75" s="161"/>
      <c r="AO75" s="161"/>
    </row>
    <row r="76" spans="1:41" ht="9" customHeight="1">
      <c r="A76" s="118"/>
      <c r="B76" s="111"/>
      <c r="C76" s="111"/>
      <c r="D76" s="112"/>
      <c r="E76" s="111"/>
      <c r="F76" s="111"/>
      <c r="G76" s="119"/>
      <c r="H76" s="111"/>
      <c r="I76" s="118"/>
      <c r="J76" s="111"/>
      <c r="K76" s="111"/>
      <c r="L76" s="112"/>
      <c r="M76" s="111"/>
      <c r="N76" s="111"/>
      <c r="O76" s="119"/>
      <c r="P76" s="111"/>
      <c r="Q76" s="160">
        <f t="shared" si="4"/>
        <v>0</v>
      </c>
      <c r="R76" s="160">
        <f t="shared" si="5"/>
        <v>0</v>
      </c>
      <c r="S76" s="161"/>
      <c r="U76" s="161"/>
      <c r="V76" s="161"/>
      <c r="W76" s="161"/>
      <c r="X76" s="161"/>
      <c r="Y76" s="161"/>
      <c r="Z76" s="161"/>
      <c r="AA76" s="161"/>
      <c r="AB76" s="161"/>
      <c r="AC76" s="161"/>
      <c r="AD76" s="161"/>
      <c r="AE76" s="161"/>
      <c r="AF76" s="161"/>
      <c r="AG76" s="161"/>
      <c r="AH76" s="161"/>
      <c r="AI76" s="161"/>
      <c r="AJ76" s="161"/>
      <c r="AK76" s="161"/>
      <c r="AL76" s="161"/>
      <c r="AM76" s="161"/>
      <c r="AN76" s="161"/>
      <c r="AO76" s="161"/>
    </row>
    <row r="77" spans="1:41" ht="15.75" customHeight="1">
      <c r="A77" s="118" t="s">
        <v>657</v>
      </c>
      <c r="B77" s="111">
        <f>('Pivot Table for Data Exchange'!$D$151)*100</f>
        <v>0</v>
      </c>
      <c r="C77" s="111">
        <f>('Pivot Table for Data Exchange'!$D$154)*100</f>
        <v>0</v>
      </c>
      <c r="D77" s="112">
        <f>SUM(E77:G77)</f>
        <v>0</v>
      </c>
      <c r="E77" s="111">
        <f>('Pivot Table for Data Exchange'!$D$157)*100</f>
        <v>0</v>
      </c>
      <c r="F77" s="111">
        <f>('Pivot Table for Data Exchange'!$D$160)*100</f>
        <v>0</v>
      </c>
      <c r="G77" s="121">
        <f>('Pivot Table for Data Exchange'!$D$163)*100</f>
        <v>0</v>
      </c>
      <c r="H77" s="111">
        <f>('Pivot Table for Data Exchange'!$D$166)*100</f>
        <v>0</v>
      </c>
      <c r="I77" s="118" t="s">
        <v>657</v>
      </c>
      <c r="J77" s="111">
        <f>('Pivot Table for Data Exchange'!$D$169)*100</f>
        <v>0</v>
      </c>
      <c r="K77" s="111">
        <f>('Pivot Table for Data Exchange'!$D$172)*100</f>
        <v>0</v>
      </c>
      <c r="L77" s="112">
        <f>SUM(M77:O77)</f>
        <v>0</v>
      </c>
      <c r="M77" s="111">
        <f>('Pivot Table for Data Exchange'!$D$175)*100</f>
        <v>0</v>
      </c>
      <c r="N77" s="111">
        <f>('Pivot Table for Data Exchange'!$D$178)*100</f>
        <v>0</v>
      </c>
      <c r="O77" s="121">
        <f>('Pivot Table for Data Exchange'!$D$181)*100</f>
        <v>0</v>
      </c>
      <c r="P77" s="111">
        <f>('Pivot Table for Data Exchange'!$D$184)*100</f>
        <v>0</v>
      </c>
      <c r="Q77" s="160">
        <f t="shared" si="4"/>
        <v>0</v>
      </c>
      <c r="R77" s="160">
        <f t="shared" si="5"/>
        <v>0</v>
      </c>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row>
    <row r="78" spans="1:41" ht="15.75" customHeight="1">
      <c r="A78" s="118" t="s">
        <v>658</v>
      </c>
      <c r="B78" s="111">
        <f>('Pivot Table for Data Exchange'!$D$187)*100</f>
        <v>0</v>
      </c>
      <c r="C78" s="111">
        <f>('Pivot Table for Data Exchange'!$D$190)*100</f>
        <v>0</v>
      </c>
      <c r="D78" s="112">
        <f>SUM(E78:G78)</f>
        <v>0</v>
      </c>
      <c r="E78" s="111">
        <f>('Pivot Table for Data Exchange'!$D$193)*100</f>
        <v>0</v>
      </c>
      <c r="F78" s="111">
        <f>('Pivot Table for Data Exchange'!$D$196)*100</f>
        <v>0</v>
      </c>
      <c r="G78" s="119">
        <f>('Pivot Table for Data Exchange'!$D$199)*100</f>
        <v>0</v>
      </c>
      <c r="H78" s="111">
        <f>('Pivot Table for Data Exchange'!$D$202)*100</f>
        <v>0</v>
      </c>
      <c r="I78" s="118" t="s">
        <v>658</v>
      </c>
      <c r="J78" s="111">
        <f>('Pivot Table for Data Exchange'!$D$205)*100</f>
        <v>0</v>
      </c>
      <c r="K78" s="111">
        <f>('Pivot Table for Data Exchange'!$D$208)*100</f>
        <v>0</v>
      </c>
      <c r="L78" s="112">
        <f>SUM(M78:O78)</f>
        <v>0</v>
      </c>
      <c r="M78" s="111">
        <f>('Pivot Table for Data Exchange'!$D$211)*100</f>
        <v>0</v>
      </c>
      <c r="N78" s="111">
        <f>('Pivot Table for Data Exchange'!$D$214)*100</f>
        <v>0</v>
      </c>
      <c r="O78" s="121">
        <f>('Pivot Table for Data Exchange'!$D$217)*100</f>
        <v>0</v>
      </c>
      <c r="P78" s="111">
        <f>('Pivot Table for Data Exchange'!$D$220)*100</f>
        <v>0</v>
      </c>
      <c r="Q78" s="160">
        <f t="shared" si="4"/>
        <v>0</v>
      </c>
      <c r="R78" s="160">
        <f t="shared" si="5"/>
        <v>0</v>
      </c>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row>
    <row r="79" spans="1:41" ht="15.75" customHeight="1">
      <c r="A79" s="118" t="s">
        <v>659</v>
      </c>
      <c r="B79" s="111">
        <f>('Pivot Table for Data Exchange'!$D$223)*100</f>
        <v>0</v>
      </c>
      <c r="C79" s="111">
        <f>('Pivot Table for Data Exchange'!$D$226)*100</f>
        <v>0</v>
      </c>
      <c r="D79" s="112">
        <f>SUM(E79:G79)</f>
        <v>0</v>
      </c>
      <c r="E79" s="111">
        <f>('Pivot Table for Data Exchange'!$D$229)*100</f>
        <v>0</v>
      </c>
      <c r="F79" s="120">
        <f>('Pivot Table for Data Exchange'!$D$232)*100</f>
        <v>0</v>
      </c>
      <c r="G79" s="121">
        <f>('Pivot Table for Data Exchange'!$D$235)*100</f>
        <v>0</v>
      </c>
      <c r="H79" s="111">
        <f>('Pivot Table for Data Exchange'!$D$238)*100</f>
        <v>0</v>
      </c>
      <c r="I79" s="118" t="s">
        <v>659</v>
      </c>
      <c r="J79" s="111">
        <f>('Pivot Table for Data Exchange'!$D$241)*100</f>
        <v>0</v>
      </c>
      <c r="K79" s="111">
        <f>('Pivot Table for Data Exchange'!$D$244)*100</f>
        <v>0</v>
      </c>
      <c r="L79" s="112">
        <f>SUM(M79:O79)</f>
        <v>0</v>
      </c>
      <c r="M79" s="111">
        <f>('Pivot Table for Data Exchange'!$D$247)*100</f>
        <v>0</v>
      </c>
      <c r="N79" s="111">
        <f>('Pivot Table for Data Exchange'!$D$250)*100</f>
        <v>0</v>
      </c>
      <c r="O79" s="121">
        <f>('Pivot Table for Data Exchange'!$D$253)*100</f>
        <v>0</v>
      </c>
      <c r="P79" s="111">
        <f>('Pivot Table for Data Exchange'!$D$256)*100</f>
        <v>0</v>
      </c>
      <c r="Q79" s="160">
        <f t="shared" si="4"/>
        <v>0</v>
      </c>
      <c r="R79" s="160">
        <f t="shared" si="5"/>
        <v>0</v>
      </c>
      <c r="S79" s="161"/>
      <c r="T79" s="167"/>
      <c r="U79" s="161"/>
      <c r="V79" s="161"/>
      <c r="W79" s="161"/>
      <c r="X79" s="161"/>
      <c r="Y79" s="161"/>
      <c r="Z79" s="161"/>
      <c r="AA79" s="161"/>
      <c r="AB79" s="161"/>
      <c r="AC79" s="161"/>
      <c r="AD79" s="161"/>
      <c r="AE79" s="161"/>
      <c r="AF79" s="161"/>
      <c r="AG79" s="161"/>
      <c r="AH79" s="161"/>
      <c r="AI79" s="161"/>
      <c r="AJ79" s="161"/>
      <c r="AK79" s="161"/>
      <c r="AL79" s="161"/>
      <c r="AM79" s="161"/>
      <c r="AN79" s="161"/>
      <c r="AO79" s="161"/>
    </row>
    <row r="80" spans="1:41" ht="15.75" customHeight="1">
      <c r="A80" s="118" t="s">
        <v>700</v>
      </c>
      <c r="B80" s="111">
        <f>('Pivot Table for Data Exchange'!$D$259)*100</f>
        <v>90.390141191823574</v>
      </c>
      <c r="C80" s="111">
        <f>('Pivot Table for Data Exchange'!$D$262)*100</f>
        <v>1.9736898738208906</v>
      </c>
      <c r="D80" s="112">
        <f>SUM(E80:G80)</f>
        <v>7.6361689343555295</v>
      </c>
      <c r="E80" s="111">
        <f>('Pivot Table for Data Exchange'!$D$265)*100</f>
        <v>7.6361689343555295</v>
      </c>
      <c r="F80" s="111">
        <f>('Pivot Table for Data Exchange'!$D$268)*100</f>
        <v>0</v>
      </c>
      <c r="G80" s="119">
        <f>('Pivot Table for Data Exchange'!$D$271)*100</f>
        <v>0</v>
      </c>
      <c r="H80" s="111">
        <f>('Pivot Table for Data Exchange'!$D$274)*100</f>
        <v>0</v>
      </c>
      <c r="I80" s="118" t="s">
        <v>700</v>
      </c>
      <c r="J80" s="111">
        <f>('Pivot Table for Data Exchange'!$D$277)*100</f>
        <v>74.605998983223188</v>
      </c>
      <c r="K80" s="111">
        <f>('Pivot Table for Data Exchange'!$D$280)*100</f>
        <v>8.4307744450093196</v>
      </c>
      <c r="L80" s="112">
        <f>SUM(M80:O80)</f>
        <v>16.963226571767496</v>
      </c>
      <c r="M80" s="111">
        <f>('Pivot Table for Data Exchange'!$D$283)*100</f>
        <v>15.517143986894876</v>
      </c>
      <c r="N80" s="111">
        <f>('Pivot Table for Data Exchange'!$D$286)*100</f>
        <v>1.2540247415692256</v>
      </c>
      <c r="O80" s="119">
        <f>('Pivot Table for Data Exchange'!$D$289)*100</f>
        <v>0.1920578433033949</v>
      </c>
      <c r="P80" s="111">
        <f>('Pivot Table for Data Exchange'!$D$292)*100</f>
        <v>0</v>
      </c>
      <c r="Q80" s="160">
        <f t="shared" si="4"/>
        <v>99.999999999999986</v>
      </c>
      <c r="R80" s="160">
        <f t="shared" si="5"/>
        <v>100</v>
      </c>
      <c r="S80" s="161"/>
      <c r="U80" s="161"/>
      <c r="V80" s="161"/>
      <c r="W80" s="161"/>
      <c r="X80" s="161"/>
      <c r="Y80" s="161"/>
      <c r="Z80" s="161"/>
      <c r="AA80" s="161"/>
      <c r="AB80" s="161"/>
      <c r="AC80" s="161"/>
      <c r="AD80" s="161"/>
      <c r="AE80" s="161"/>
      <c r="AF80" s="161"/>
      <c r="AG80" s="161"/>
      <c r="AH80" s="161"/>
      <c r="AI80" s="161"/>
      <c r="AJ80" s="161"/>
      <c r="AK80" s="161"/>
      <c r="AL80" s="161"/>
      <c r="AM80" s="161"/>
      <c r="AN80" s="161"/>
      <c r="AO80" s="161"/>
    </row>
    <row r="81" spans="1:41" ht="8.25" customHeight="1">
      <c r="A81" s="118"/>
      <c r="B81" s="111"/>
      <c r="C81" s="111"/>
      <c r="D81" s="112"/>
      <c r="E81" s="111"/>
      <c r="F81" s="111"/>
      <c r="G81" s="119"/>
      <c r="H81" s="111"/>
      <c r="I81" s="118"/>
      <c r="J81" s="111"/>
      <c r="K81" s="111"/>
      <c r="L81" s="112"/>
      <c r="M81" s="111"/>
      <c r="N81" s="111"/>
      <c r="O81" s="119"/>
      <c r="P81" s="111"/>
      <c r="Q81" s="160">
        <f t="shared" si="4"/>
        <v>0</v>
      </c>
      <c r="R81" s="160">
        <f t="shared" si="5"/>
        <v>0</v>
      </c>
      <c r="S81" s="161"/>
      <c r="U81" s="161"/>
      <c r="V81" s="161"/>
      <c r="W81" s="161"/>
      <c r="X81" s="161"/>
      <c r="Y81" s="161"/>
      <c r="Z81" s="161"/>
      <c r="AA81" s="161"/>
      <c r="AB81" s="161"/>
      <c r="AC81" s="161"/>
      <c r="AD81" s="161"/>
      <c r="AE81" s="161"/>
      <c r="AF81" s="161"/>
      <c r="AG81" s="161"/>
      <c r="AH81" s="161"/>
      <c r="AI81" s="161"/>
      <c r="AJ81" s="161"/>
      <c r="AK81" s="161"/>
      <c r="AL81" s="161"/>
      <c r="AM81" s="161"/>
      <c r="AN81" s="161"/>
      <c r="AO81" s="161"/>
    </row>
    <row r="82" spans="1:41" ht="15.75" customHeight="1">
      <c r="A82" s="118" t="s">
        <v>661</v>
      </c>
      <c r="B82" s="111">
        <f>('Pivot Table for Data Exchange'!$D$295)*100</f>
        <v>90.144906446167028</v>
      </c>
      <c r="C82" s="111">
        <f>('Pivot Table for Data Exchange'!$D$298)*100</f>
        <v>6.2641785963936671</v>
      </c>
      <c r="D82" s="112">
        <f>SUM(E82:G82)</f>
        <v>3.5898755185284319</v>
      </c>
      <c r="E82" s="111">
        <f>('Pivot Table for Data Exchange'!$D$301)*100</f>
        <v>2.1578751789783874</v>
      </c>
      <c r="F82" s="111">
        <f>('Pivot Table for Data Exchange'!$D$304)*100</f>
        <v>1.4320003395500442</v>
      </c>
      <c r="G82" s="119">
        <f>('Pivot Table for Data Exchange'!$D$307)*100</f>
        <v>0</v>
      </c>
      <c r="H82" s="114">
        <f>('Pivot Table for Data Exchange'!$D$310)*100</f>
        <v>1.0394389108759092E-3</v>
      </c>
      <c r="I82" s="118" t="s">
        <v>661</v>
      </c>
      <c r="J82" s="111">
        <f>('Pivot Table for Data Exchange'!$D$313)*100</f>
        <v>82.114228742344395</v>
      </c>
      <c r="K82" s="111">
        <f>('Pivot Table for Data Exchange'!$D$316)*100</f>
        <v>13.914826947728242</v>
      </c>
      <c r="L82" s="112">
        <f>SUM(M82:O82)</f>
        <v>3.967525993448227</v>
      </c>
      <c r="M82" s="111">
        <f>('Pivot Table for Data Exchange'!$D$319)*100</f>
        <v>2.7779518587095855</v>
      </c>
      <c r="N82" s="111">
        <f>('Pivot Table for Data Exchange'!$D$322)*100</f>
        <v>1.1895741347386413</v>
      </c>
      <c r="O82" s="121">
        <f>('Pivot Table for Data Exchange'!$D$325)*100</f>
        <v>0</v>
      </c>
      <c r="P82" s="120">
        <f>('Pivot Table for Data Exchange'!$D$328)*100</f>
        <v>3.4183164791340261E-3</v>
      </c>
      <c r="Q82" s="160">
        <f t="shared" si="4"/>
        <v>100</v>
      </c>
      <c r="R82" s="160">
        <f t="shared" si="5"/>
        <v>100</v>
      </c>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row>
    <row r="83" spans="1:41" ht="15.75" customHeight="1">
      <c r="A83" s="118" t="s">
        <v>662</v>
      </c>
      <c r="B83" s="111">
        <f>('Pivot Table for Data Exchange'!$D$331)*100</f>
        <v>91.228446422595681</v>
      </c>
      <c r="C83" s="111">
        <f>('Pivot Table for Data Exchange'!$D$334)*100</f>
        <v>9.2933047799911114E-2</v>
      </c>
      <c r="D83" s="112">
        <f>SUM(E83:G83)</f>
        <v>8.678620529604407</v>
      </c>
      <c r="E83" s="111">
        <f>('Pivot Table for Data Exchange'!$D$337)*100</f>
        <v>8.6711610207509029</v>
      </c>
      <c r="F83" s="120">
        <f>('Pivot Table for Data Exchange'!$D$340)*100</f>
        <v>7.4595088535045709E-3</v>
      </c>
      <c r="G83" s="119">
        <f>('Pivot Table for Data Exchange'!$D$343)*100</f>
        <v>0</v>
      </c>
      <c r="H83" s="111">
        <f>('Pivot Table for Data Exchange'!$D$346)*100</f>
        <v>0</v>
      </c>
      <c r="I83" s="118" t="s">
        <v>662</v>
      </c>
      <c r="J83" s="111">
        <f>('Pivot Table for Data Exchange'!$D$349)*100</f>
        <v>80.000687403333899</v>
      </c>
      <c r="K83" s="111">
        <f>('Pivot Table for Data Exchange'!$D$352)*100</f>
        <v>4.1264822134387353</v>
      </c>
      <c r="L83" s="112">
        <f>SUM(M83:O83)</f>
        <v>15.872830383227356</v>
      </c>
      <c r="M83" s="111">
        <f>('Pivot Table for Data Exchange'!$D$355)*100</f>
        <v>15.637051039697541</v>
      </c>
      <c r="N83" s="111">
        <f>('Pivot Table for Data Exchange'!$D$358)*100</f>
        <v>0.23577934352981611</v>
      </c>
      <c r="O83" s="121">
        <f>('Pivot Table for Data Exchange'!$D$361)*100</f>
        <v>0</v>
      </c>
      <c r="P83" s="111">
        <f>('Pivot Table for Data Exchange'!$D$364)*100</f>
        <v>0</v>
      </c>
      <c r="Q83" s="160">
        <f t="shared" si="4"/>
        <v>100</v>
      </c>
      <c r="R83" s="160">
        <f t="shared" si="5"/>
        <v>99.999999999999986</v>
      </c>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row>
    <row r="84" spans="1:41" ht="15.75" customHeight="1">
      <c r="A84" s="118" t="s">
        <v>663</v>
      </c>
      <c r="B84" s="111">
        <f>('Pivot Table for Data Exchange'!$D$367)*100</f>
        <v>0</v>
      </c>
      <c r="C84" s="111">
        <f>('Pivot Table for Data Exchange'!$D$370)*100</f>
        <v>0</v>
      </c>
      <c r="D84" s="112">
        <f>SUM(E84:G84)</f>
        <v>0</v>
      </c>
      <c r="E84" s="111">
        <f>('Pivot Table for Data Exchange'!$D$373)*100</f>
        <v>0</v>
      </c>
      <c r="F84" s="111">
        <f>('Pivot Table for Data Exchange'!$D$376)*100</f>
        <v>0</v>
      </c>
      <c r="G84" s="119">
        <f>('Pivot Table for Data Exchange'!$D$379)*100</f>
        <v>0</v>
      </c>
      <c r="H84" s="111">
        <f>('Pivot Table for Data Exchange'!$D$382)*100</f>
        <v>0</v>
      </c>
      <c r="I84" s="118" t="s">
        <v>663</v>
      </c>
      <c r="J84" s="111">
        <f>('Pivot Table for Data Exchange'!$D$385)*100</f>
        <v>0</v>
      </c>
      <c r="K84" s="111">
        <f>('Pivot Table for Data Exchange'!$D$388)*100</f>
        <v>0</v>
      </c>
      <c r="L84" s="112">
        <f>SUM(M84:O84)</f>
        <v>0</v>
      </c>
      <c r="M84" s="111">
        <f>('Pivot Table for Data Exchange'!$D$391)*100</f>
        <v>0</v>
      </c>
      <c r="N84" s="111">
        <f>('Pivot Table for Data Exchange'!$D$394)*100</f>
        <v>0</v>
      </c>
      <c r="O84" s="119">
        <f>('Pivot Table for Data Exchange'!$D$397)*100</f>
        <v>0</v>
      </c>
      <c r="P84" s="111">
        <f>('Pivot Table for Data Exchange'!$D$400)*100</f>
        <v>0</v>
      </c>
      <c r="Q84" s="160">
        <f t="shared" si="4"/>
        <v>0</v>
      </c>
      <c r="R84" s="160">
        <f t="shared" si="5"/>
        <v>0</v>
      </c>
      <c r="S84" s="161"/>
      <c r="T84" s="167"/>
      <c r="U84" s="161"/>
      <c r="V84" s="161"/>
      <c r="W84" s="161"/>
      <c r="X84" s="161"/>
      <c r="Y84" s="161"/>
      <c r="Z84" s="161"/>
      <c r="AA84" s="161"/>
      <c r="AB84" s="161"/>
      <c r="AC84" s="161"/>
      <c r="AD84" s="161"/>
      <c r="AE84" s="161"/>
      <c r="AF84" s="161"/>
      <c r="AG84" s="161"/>
      <c r="AH84" s="161"/>
      <c r="AI84" s="161"/>
      <c r="AJ84" s="161"/>
      <c r="AK84" s="161"/>
      <c r="AL84" s="161"/>
      <c r="AM84" s="161"/>
      <c r="AN84" s="161"/>
      <c r="AO84" s="161"/>
    </row>
    <row r="85" spans="1:41" ht="15.75" customHeight="1">
      <c r="A85" s="118" t="s">
        <v>664</v>
      </c>
      <c r="B85" s="111">
        <f>('Pivot Table for Data Exchange'!$D$403)*100</f>
        <v>0</v>
      </c>
      <c r="C85" s="111">
        <f>('Pivot Table for Data Exchange'!$D$406)*100</f>
        <v>0</v>
      </c>
      <c r="D85" s="112">
        <f>SUM(E85:G85)</f>
        <v>0</v>
      </c>
      <c r="E85" s="111">
        <f>('Pivot Table for Data Exchange'!$D$409)*100</f>
        <v>0</v>
      </c>
      <c r="F85" s="111">
        <f>('Pivot Table for Data Exchange'!$D$412)*100</f>
        <v>0</v>
      </c>
      <c r="G85" s="119">
        <f>('Pivot Table for Data Exchange'!$D$415)*100</f>
        <v>0</v>
      </c>
      <c r="H85" s="111">
        <f>('Pivot Table for Data Exchange'!$D$418)*100</f>
        <v>0</v>
      </c>
      <c r="I85" s="118" t="s">
        <v>664</v>
      </c>
      <c r="J85" s="111">
        <f>('Pivot Table for Data Exchange'!$D$421)*100</f>
        <v>0</v>
      </c>
      <c r="K85" s="111">
        <f>('Pivot Table for Data Exchange'!$D$424)*100</f>
        <v>0</v>
      </c>
      <c r="L85" s="112">
        <f>SUM(M85:O85)</f>
        <v>0</v>
      </c>
      <c r="M85" s="111">
        <f>('Pivot Table for Data Exchange'!$D$427)*100</f>
        <v>0</v>
      </c>
      <c r="N85" s="111">
        <f>('Pivot Table for Data Exchange'!$D$430)*100</f>
        <v>0</v>
      </c>
      <c r="O85" s="119">
        <f>('Pivot Table for Data Exchange'!$D$433)*100</f>
        <v>0</v>
      </c>
      <c r="P85" s="111">
        <f>('Pivot Table for Data Exchange'!$D$436)*100</f>
        <v>0</v>
      </c>
      <c r="Q85" s="160">
        <f t="shared" si="4"/>
        <v>0</v>
      </c>
      <c r="R85" s="160">
        <f t="shared" si="5"/>
        <v>0</v>
      </c>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row>
    <row r="86" spans="1:41" ht="8.25" customHeight="1">
      <c r="A86" s="118"/>
      <c r="B86" s="111"/>
      <c r="C86" s="111"/>
      <c r="D86" s="112"/>
      <c r="E86" s="111"/>
      <c r="F86" s="111"/>
      <c r="G86" s="119"/>
      <c r="H86" s="111"/>
      <c r="I86" s="118"/>
      <c r="J86" s="111"/>
      <c r="K86" s="111"/>
      <c r="L86" s="112"/>
      <c r="M86" s="111"/>
      <c r="N86" s="111"/>
      <c r="O86" s="119"/>
      <c r="P86" s="111"/>
      <c r="Q86" s="160">
        <f t="shared" si="4"/>
        <v>0</v>
      </c>
      <c r="R86" s="160">
        <f t="shared" si="5"/>
        <v>0</v>
      </c>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row>
    <row r="87" spans="1:41" ht="15.75" customHeight="1">
      <c r="A87" s="118" t="s">
        <v>665</v>
      </c>
      <c r="B87" s="111">
        <f>('Pivot Table for Data Exchange'!$D$439)*100</f>
        <v>0</v>
      </c>
      <c r="C87" s="111">
        <f>('Pivot Table for Data Exchange'!$D$442)*100</f>
        <v>0</v>
      </c>
      <c r="D87" s="112">
        <f>SUM(E87:G87)</f>
        <v>0</v>
      </c>
      <c r="E87" s="111">
        <f>('Pivot Table for Data Exchange'!$D$445)*100</f>
        <v>0</v>
      </c>
      <c r="F87" s="111">
        <f>('Pivot Table for Data Exchange'!$D$448)*100</f>
        <v>0</v>
      </c>
      <c r="G87" s="119">
        <f>('Pivot Table for Data Exchange'!$D$451)*100</f>
        <v>0</v>
      </c>
      <c r="H87" s="111">
        <f>('Pivot Table for Data Exchange'!$D$454)*100</f>
        <v>0</v>
      </c>
      <c r="I87" s="118" t="s">
        <v>665</v>
      </c>
      <c r="J87" s="111">
        <f>('Pivot Table for Data Exchange'!$D$457)*100</f>
        <v>0</v>
      </c>
      <c r="K87" s="111">
        <f>('Pivot Table for Data Exchange'!$D$460)*100</f>
        <v>0</v>
      </c>
      <c r="L87" s="112">
        <f>SUM(M87:O87)</f>
        <v>0</v>
      </c>
      <c r="M87" s="111">
        <f>('Pivot Table for Data Exchange'!$D$463)*100</f>
        <v>0</v>
      </c>
      <c r="N87" s="111">
        <f>('Pivot Table for Data Exchange'!$D$466)*100</f>
        <v>0</v>
      </c>
      <c r="O87" s="119">
        <f>('Pivot Table for Data Exchange'!$D$469)*100</f>
        <v>0</v>
      </c>
      <c r="P87" s="111">
        <f>('Pivot Table for Data Exchange'!$D$472)*100</f>
        <v>0</v>
      </c>
      <c r="Q87" s="160">
        <f t="shared" si="4"/>
        <v>0</v>
      </c>
      <c r="R87" s="160">
        <f t="shared" si="5"/>
        <v>0</v>
      </c>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row>
    <row r="88" spans="1:41" ht="15.75" customHeight="1">
      <c r="A88" s="118" t="s">
        <v>666</v>
      </c>
      <c r="B88" s="111">
        <f>('Pivot Table for Data Exchange'!$D$475)*100</f>
        <v>92.187414254019771</v>
      </c>
      <c r="C88" s="111">
        <f>('Pivot Table for Data Exchange'!$D$478)*100</f>
        <v>0.83789991925178542</v>
      </c>
      <c r="D88" s="112">
        <f>SUM(E88:G88)</f>
        <v>6.9746858267284422</v>
      </c>
      <c r="E88" s="111">
        <f>('Pivot Table for Data Exchange'!$D$481)*100</f>
        <v>6.517713649584107</v>
      </c>
      <c r="F88" s="120">
        <f>('Pivot Table for Data Exchange'!$D$484)*100</f>
        <v>0.45226839765751781</v>
      </c>
      <c r="G88" s="119">
        <f>('Pivot Table for Data Exchange'!$D$487)*100</f>
        <v>4.7037794868176582E-3</v>
      </c>
      <c r="H88" s="111">
        <f>('Pivot Table for Data Exchange'!$D$490)*100</f>
        <v>0</v>
      </c>
      <c r="I88" s="118" t="s">
        <v>666</v>
      </c>
      <c r="J88" s="111">
        <f>('Pivot Table for Data Exchange'!$D$493)*100</f>
        <v>69.560443500318186</v>
      </c>
      <c r="K88" s="111">
        <f>('Pivot Table for Data Exchange'!$D$496)*100</f>
        <v>2.5858900929486319</v>
      </c>
      <c r="L88" s="112">
        <f>SUM(M88:O88)</f>
        <v>27.853666406733172</v>
      </c>
      <c r="M88" s="111">
        <f>('Pivot Table for Data Exchange'!$D$499)*100</f>
        <v>27.576254627264333</v>
      </c>
      <c r="N88" s="111">
        <f>('Pivot Table for Data Exchange'!$D$502)*100</f>
        <v>0.27741177946883938</v>
      </c>
      <c r="O88" s="119">
        <f>('Pivot Table for Data Exchange'!$D$505)*100</f>
        <v>0</v>
      </c>
      <c r="P88" s="111">
        <f>('Pivot Table for Data Exchange'!$D$508)*100</f>
        <v>0</v>
      </c>
      <c r="Q88" s="160">
        <f t="shared" si="4"/>
        <v>100</v>
      </c>
      <c r="R88" s="160">
        <f t="shared" si="5"/>
        <v>99.999999999999986</v>
      </c>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row>
    <row r="89" spans="1:41" ht="15.75" customHeight="1">
      <c r="A89" s="118" t="s">
        <v>667</v>
      </c>
      <c r="B89" s="111">
        <f>('Pivot Table for Data Exchange'!$D$511)*100</f>
        <v>97.04829670860444</v>
      </c>
      <c r="C89" s="111">
        <f>('Pivot Table for Data Exchange'!$D$514)*100</f>
        <v>1.0465896876860941</v>
      </c>
      <c r="D89" s="112">
        <f>SUM(E89:G89)</f>
        <v>1.9051136037094689</v>
      </c>
      <c r="E89" s="111">
        <f>('Pivot Table for Data Exchange'!$D$517)*100</f>
        <v>1.9051136037094689</v>
      </c>
      <c r="F89" s="111">
        <f>('Pivot Table for Data Exchange'!$D$520)*100</f>
        <v>0</v>
      </c>
      <c r="G89" s="119">
        <f>('Pivot Table for Data Exchange'!$D$523)*100</f>
        <v>0</v>
      </c>
      <c r="H89" s="111">
        <f>('Pivot Table for Data Exchange'!$D$526)*100</f>
        <v>0</v>
      </c>
      <c r="I89" s="118" t="s">
        <v>667</v>
      </c>
      <c r="J89" s="111">
        <f>('Pivot Table for Data Exchange'!$D$529)*100</f>
        <v>85.800830847519293</v>
      </c>
      <c r="K89" s="111">
        <f>('Pivot Table for Data Exchange'!$D$532)*100</f>
        <v>10.186978072503534</v>
      </c>
      <c r="L89" s="112">
        <f>SUM(M89:O89)</f>
        <v>4.0121910799771729</v>
      </c>
      <c r="M89" s="111">
        <f>('Pivot Table for Data Exchange'!$D$535)*100</f>
        <v>4.0121910799771729</v>
      </c>
      <c r="N89" s="111">
        <f>('Pivot Table for Data Exchange'!$D$538)*100</f>
        <v>0</v>
      </c>
      <c r="O89" s="119">
        <f>('Pivot Table for Data Exchange'!$D$541)*100</f>
        <v>0</v>
      </c>
      <c r="P89" s="111">
        <f>('Pivot Table for Data Exchange'!$D$544)*100</f>
        <v>0</v>
      </c>
      <c r="Q89" s="160">
        <f t="shared" si="4"/>
        <v>100</v>
      </c>
      <c r="R89" s="160">
        <f t="shared" si="5"/>
        <v>100</v>
      </c>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row>
    <row r="90" spans="1:41" ht="15.75" customHeight="1">
      <c r="A90" s="91" t="s">
        <v>668</v>
      </c>
      <c r="B90" s="122">
        <f>('Pivot Table for Data Exchange'!$D$547)*100</f>
        <v>0</v>
      </c>
      <c r="C90" s="122">
        <f>('Pivot Table for Data Exchange'!$D$550)*100</f>
        <v>0</v>
      </c>
      <c r="D90" s="123">
        <f>SUM(E90:G90)</f>
        <v>0</v>
      </c>
      <c r="E90" s="122">
        <f>('Pivot Table for Data Exchange'!$D$553)*100</f>
        <v>0</v>
      </c>
      <c r="F90" s="122">
        <f>('Pivot Table for Data Exchange'!$D$556)*100</f>
        <v>0</v>
      </c>
      <c r="G90" s="124">
        <f>('Pivot Table for Data Exchange'!$D$559)*100</f>
        <v>0</v>
      </c>
      <c r="H90" s="122">
        <f>('Pivot Table for Data Exchange'!$D$562)*100</f>
        <v>0</v>
      </c>
      <c r="I90" s="91" t="s">
        <v>668</v>
      </c>
      <c r="J90" s="122">
        <f>('Pivot Table for Data Exchange'!$D$565)*100</f>
        <v>0</v>
      </c>
      <c r="K90" s="122">
        <f>('Pivot Table for Data Exchange'!$D$568)*100</f>
        <v>0</v>
      </c>
      <c r="L90" s="123">
        <f>SUM(M90:O90)</f>
        <v>0</v>
      </c>
      <c r="M90" s="122">
        <f>('Pivot Table for Data Exchange'!$D$571)*100</f>
        <v>0</v>
      </c>
      <c r="N90" s="122">
        <f>('Pivot Table for Data Exchange'!$D$574)*100</f>
        <v>0</v>
      </c>
      <c r="O90" s="124">
        <f>('Pivot Table for Data Exchange'!$D$577)*100</f>
        <v>0</v>
      </c>
      <c r="P90" s="122">
        <f>('Pivot Table for Data Exchange'!$D$580)*100</f>
        <v>0</v>
      </c>
      <c r="Q90" s="160">
        <f t="shared" si="4"/>
        <v>0</v>
      </c>
      <c r="R90" s="160">
        <f t="shared" si="5"/>
        <v>0</v>
      </c>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row>
    <row r="91" spans="1:41" s="166" customFormat="1" ht="18" customHeight="1">
      <c r="A91" s="58" t="s">
        <v>697</v>
      </c>
      <c r="B91" s="126"/>
      <c r="C91" s="126"/>
      <c r="D91" s="127"/>
      <c r="E91" s="126"/>
      <c r="F91" s="127"/>
      <c r="G91" s="127"/>
      <c r="H91" s="126"/>
      <c r="I91" s="58" t="s">
        <v>697</v>
      </c>
      <c r="J91" s="126"/>
      <c r="K91" s="126"/>
      <c r="L91" s="127"/>
      <c r="M91" s="126"/>
      <c r="N91" s="127"/>
      <c r="O91" s="127"/>
      <c r="P91" s="126"/>
      <c r="Q91" s="160">
        <f t="shared" si="4"/>
        <v>0</v>
      </c>
      <c r="R91" s="160">
        <f t="shared" si="5"/>
        <v>0</v>
      </c>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row>
    <row r="92" spans="1:41" s="166" customFormat="1" ht="24.75" customHeight="1">
      <c r="A92" s="649" t="s">
        <v>698</v>
      </c>
      <c r="B92" s="650"/>
      <c r="C92" s="650"/>
      <c r="D92" s="650"/>
      <c r="E92" s="650"/>
      <c r="F92" s="650"/>
      <c r="G92" s="650"/>
      <c r="H92" s="650"/>
      <c r="I92" s="649" t="s">
        <v>698</v>
      </c>
      <c r="J92" s="650"/>
      <c r="K92" s="650"/>
      <c r="L92" s="650"/>
      <c r="M92" s="650"/>
      <c r="N92" s="650"/>
      <c r="O92" s="650"/>
      <c r="P92" s="650"/>
      <c r="Q92" s="160">
        <f t="shared" si="4"/>
        <v>0</v>
      </c>
      <c r="R92" s="160">
        <f t="shared" si="5"/>
        <v>0</v>
      </c>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row>
    <row r="93" spans="1:41" s="166" customFormat="1" ht="18" customHeight="1">
      <c r="A93" s="137"/>
      <c r="B93" s="176"/>
      <c r="C93" s="176"/>
      <c r="D93" s="176"/>
      <c r="E93" s="176"/>
      <c r="F93" s="176"/>
      <c r="G93" s="177"/>
      <c r="H93" s="177"/>
      <c r="I93" s="137"/>
      <c r="J93" s="176"/>
      <c r="K93" s="176"/>
      <c r="L93" s="176"/>
      <c r="M93" s="176"/>
      <c r="N93" s="176"/>
      <c r="O93" s="176"/>
      <c r="P93" s="177"/>
      <c r="Q93" s="160">
        <f t="shared" si="4"/>
        <v>0</v>
      </c>
      <c r="R93" s="160">
        <f t="shared" si="5"/>
        <v>0</v>
      </c>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row>
    <row r="94" spans="1:41" s="166" customFormat="1" ht="13.5" customHeight="1">
      <c r="A94" s="58"/>
      <c r="B94" s="135"/>
      <c r="C94" s="60"/>
      <c r="D94" s="60"/>
      <c r="E94" s="60"/>
      <c r="F94" s="60"/>
      <c r="G94" s="60"/>
      <c r="H94" s="64" t="s">
        <v>1034</v>
      </c>
      <c r="I94" s="58"/>
      <c r="J94" s="60"/>
      <c r="K94" s="60"/>
      <c r="L94" s="60"/>
      <c r="M94" s="60"/>
      <c r="N94" s="60"/>
      <c r="O94" s="60"/>
      <c r="P94" s="64" t="s">
        <v>1034</v>
      </c>
      <c r="Q94" s="160">
        <f t="shared" si="4"/>
        <v>0</v>
      </c>
      <c r="R94" s="160">
        <f t="shared" si="5"/>
        <v>0</v>
      </c>
    </row>
    <row r="95" spans="1:41" ht="18">
      <c r="A95" s="31" t="s">
        <v>1014</v>
      </c>
      <c r="B95" s="86"/>
      <c r="C95" s="86"/>
      <c r="D95" s="86"/>
      <c r="E95" s="86"/>
      <c r="F95" s="86"/>
      <c r="G95" s="86"/>
      <c r="H95" s="87"/>
      <c r="I95" s="31" t="s">
        <v>1029</v>
      </c>
      <c r="J95" s="38"/>
      <c r="K95" s="38"/>
      <c r="L95" s="86"/>
      <c r="M95" s="38"/>
      <c r="N95" s="38"/>
      <c r="O95" s="38"/>
      <c r="P95" s="38"/>
      <c r="Q95" s="160">
        <f t="shared" si="4"/>
        <v>0</v>
      </c>
      <c r="R95" s="160">
        <f t="shared" si="5"/>
        <v>0</v>
      </c>
    </row>
    <row r="96" spans="1:41">
      <c r="A96" s="37"/>
      <c r="B96" s="38"/>
      <c r="C96" s="38"/>
      <c r="D96" s="38"/>
      <c r="E96" s="38"/>
      <c r="F96" s="38"/>
      <c r="G96" s="38"/>
      <c r="H96" s="88"/>
      <c r="I96" s="37"/>
      <c r="J96" s="38"/>
      <c r="K96" s="38"/>
      <c r="L96" s="38"/>
      <c r="M96" s="38"/>
      <c r="N96" s="38"/>
      <c r="O96" s="38"/>
      <c r="P96" s="38"/>
      <c r="Q96" s="160">
        <f t="shared" si="4"/>
        <v>0</v>
      </c>
      <c r="R96" s="160">
        <f t="shared" si="5"/>
        <v>0</v>
      </c>
    </row>
    <row r="97" spans="1:41" ht="15.75">
      <c r="A97" s="89" t="s">
        <v>683</v>
      </c>
      <c r="B97" s="38"/>
      <c r="C97" s="38"/>
      <c r="D97" s="38"/>
      <c r="E97" s="38"/>
      <c r="F97" s="38"/>
      <c r="G97" s="38"/>
      <c r="H97" s="88"/>
      <c r="I97" s="89" t="s">
        <v>684</v>
      </c>
      <c r="J97" s="38"/>
      <c r="K97" s="38"/>
      <c r="L97" s="38"/>
      <c r="M97" s="38"/>
      <c r="N97" s="38"/>
      <c r="O97" s="38"/>
      <c r="P97" s="38"/>
      <c r="Q97" s="160">
        <f t="shared" si="4"/>
        <v>0</v>
      </c>
      <c r="R97" s="160">
        <f t="shared" si="5"/>
        <v>0</v>
      </c>
    </row>
    <row r="98" spans="1:41" ht="15.75">
      <c r="A98" s="89" t="s">
        <v>985</v>
      </c>
      <c r="B98" s="38"/>
      <c r="C98" s="38"/>
      <c r="D98" s="38"/>
      <c r="E98" s="38"/>
      <c r="F98" s="38"/>
      <c r="G98" s="38"/>
      <c r="H98" s="88"/>
      <c r="I98" s="89" t="s">
        <v>985</v>
      </c>
      <c r="J98" s="38"/>
      <c r="K98" s="38"/>
      <c r="L98" s="38"/>
      <c r="M98" s="38"/>
      <c r="N98" s="38"/>
      <c r="O98" s="38"/>
      <c r="P98" s="38"/>
      <c r="Q98" s="160">
        <f t="shared" si="4"/>
        <v>0</v>
      </c>
      <c r="R98" s="160">
        <f t="shared" si="5"/>
        <v>0</v>
      </c>
    </row>
    <row r="99" spans="1:41">
      <c r="A99" s="91"/>
      <c r="B99" s="92"/>
      <c r="C99" s="92"/>
      <c r="D99" s="92"/>
      <c r="E99" s="92"/>
      <c r="F99" s="92"/>
      <c r="G99" s="92"/>
      <c r="H99" s="92"/>
      <c r="I99" s="93"/>
      <c r="L99" s="94"/>
      <c r="P99" s="91"/>
      <c r="Q99" s="160">
        <f t="shared" si="4"/>
        <v>0</v>
      </c>
      <c r="R99" s="160">
        <f t="shared" si="5"/>
        <v>0</v>
      </c>
    </row>
    <row r="100" spans="1:41" s="109" customFormat="1">
      <c r="A100" s="95"/>
      <c r="B100" s="96" t="s">
        <v>685</v>
      </c>
      <c r="C100" s="96"/>
      <c r="D100" s="96"/>
      <c r="E100" s="96"/>
      <c r="F100" s="96"/>
      <c r="G100" s="96"/>
      <c r="H100" s="97"/>
      <c r="I100" s="95"/>
      <c r="J100" s="96" t="s">
        <v>685</v>
      </c>
      <c r="K100" s="96"/>
      <c r="L100" s="96"/>
      <c r="M100" s="96"/>
      <c r="N100" s="96"/>
      <c r="O100" s="96"/>
      <c r="P100" s="97"/>
      <c r="Q100" s="160">
        <f t="shared" si="4"/>
        <v>0</v>
      </c>
      <c r="R100" s="160">
        <f t="shared" si="5"/>
        <v>0</v>
      </c>
    </row>
    <row r="101" spans="1:41" s="109" customFormat="1">
      <c r="A101" s="95"/>
      <c r="B101" s="96" t="s">
        <v>686</v>
      </c>
      <c r="C101" s="96"/>
      <c r="D101" s="647" t="s">
        <v>687</v>
      </c>
      <c r="E101" s="648"/>
      <c r="F101" s="648"/>
      <c r="G101" s="648"/>
      <c r="H101" s="101" t="s">
        <v>59</v>
      </c>
      <c r="I101" s="95"/>
      <c r="J101" s="96" t="s">
        <v>686</v>
      </c>
      <c r="K101" s="96"/>
      <c r="L101" s="647" t="s">
        <v>687</v>
      </c>
      <c r="M101" s="648"/>
      <c r="N101" s="648"/>
      <c r="O101" s="648"/>
      <c r="P101" s="101" t="s">
        <v>59</v>
      </c>
      <c r="Q101" s="160">
        <f t="shared" si="4"/>
        <v>0</v>
      </c>
      <c r="R101" s="160">
        <f t="shared" si="5"/>
        <v>0</v>
      </c>
    </row>
    <row r="102" spans="1:41" s="109" customFormat="1" ht="40.5" customHeight="1">
      <c r="A102" s="95"/>
      <c r="B102" s="102" t="s">
        <v>688</v>
      </c>
      <c r="C102" s="103" t="s">
        <v>689</v>
      </c>
      <c r="D102" s="104" t="s">
        <v>690</v>
      </c>
      <c r="E102" s="105" t="s">
        <v>9</v>
      </c>
      <c r="F102" s="102" t="s">
        <v>691</v>
      </c>
      <c r="G102" s="106" t="s">
        <v>692</v>
      </c>
      <c r="H102" s="107" t="s">
        <v>693</v>
      </c>
      <c r="I102" s="95"/>
      <c r="J102" s="102" t="s">
        <v>688</v>
      </c>
      <c r="K102" s="103" t="s">
        <v>689</v>
      </c>
      <c r="L102" s="104" t="s">
        <v>690</v>
      </c>
      <c r="M102" s="105" t="s">
        <v>9</v>
      </c>
      <c r="N102" s="102" t="s">
        <v>691</v>
      </c>
      <c r="O102" s="106" t="s">
        <v>692</v>
      </c>
      <c r="P102" s="107" t="s">
        <v>693</v>
      </c>
      <c r="Q102" s="160">
        <f t="shared" si="4"/>
        <v>0</v>
      </c>
      <c r="R102" s="160">
        <f t="shared" si="5"/>
        <v>0</v>
      </c>
      <c r="T102" s="108"/>
    </row>
    <row r="103" spans="1:41" ht="15.75" customHeight="1">
      <c r="A103" s="115" t="s">
        <v>653</v>
      </c>
      <c r="B103" s="111">
        <f>('Pivot Table for Data Exchange'!$E$7)*100</f>
        <v>82.589771603866652</v>
      </c>
      <c r="C103" s="111">
        <f>('Pivot Table for Data Exchange'!$E$10)*100</f>
        <v>1.0394305845614566</v>
      </c>
      <c r="D103" s="112">
        <f>SUM(E103:G103)</f>
        <v>16.37017409084908</v>
      </c>
      <c r="E103" s="111">
        <f>('Pivot Table for Data Exchange'!$E$13)*100</f>
        <v>15.787930796106735</v>
      </c>
      <c r="F103" s="111">
        <f>('Pivot Table for Data Exchange'!$E$16)*100</f>
        <v>0.27048688679157018</v>
      </c>
      <c r="G103" s="113">
        <f>('Pivot Table for Data Exchange'!$E$19)*100</f>
        <v>0.31175640795077597</v>
      </c>
      <c r="H103" s="120">
        <f>('Pivot Table for Data Exchange'!$E$22)*100</f>
        <v>6.23720722809155E-4</v>
      </c>
      <c r="I103" s="115" t="s">
        <v>653</v>
      </c>
      <c r="J103" s="111">
        <f>('Pivot Table for Data Exchange'!$E$25)*100</f>
        <v>68.857535154585477</v>
      </c>
      <c r="K103" s="111">
        <f>('Pivot Table for Data Exchange'!$E$28)*100</f>
        <v>1.0794943421239525</v>
      </c>
      <c r="L103" s="112">
        <f>SUM(M103:O103)</f>
        <v>30.062970503290565</v>
      </c>
      <c r="M103" s="111">
        <f>('Pivot Table for Data Exchange'!$E$31)*100</f>
        <v>26.96463235642252</v>
      </c>
      <c r="N103" s="111">
        <f>('Pivot Table for Data Exchange'!$E$34)*100</f>
        <v>0.39392074238909147</v>
      </c>
      <c r="O103" s="113">
        <f>('Pivot Table for Data Exchange'!$E$37)*100</f>
        <v>2.7044174044789546</v>
      </c>
      <c r="P103" s="111">
        <f>('Pivot Table for Data Exchange'!$E$40)*100</f>
        <v>0</v>
      </c>
      <c r="Q103" s="160">
        <f>SUM(B103,C103,D103,H103)</f>
        <v>100</v>
      </c>
      <c r="R103" s="160">
        <f t="shared" si="5"/>
        <v>100</v>
      </c>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row>
    <row r="104" spans="1:41" ht="15.75" customHeight="1">
      <c r="A104" s="118" t="s">
        <v>654</v>
      </c>
      <c r="B104" s="111">
        <f>('Pivot Table for Data Exchange'!$E$43)*100</f>
        <v>78.287684076145169</v>
      </c>
      <c r="C104" s="111">
        <f>('Pivot Table for Data Exchange'!$E$46)*100</f>
        <v>6.4084056623401979</v>
      </c>
      <c r="D104" s="112">
        <f>SUM(E104:G104)</f>
        <v>15.21400738231071</v>
      </c>
      <c r="E104" s="111">
        <f>('Pivot Table for Data Exchange'!$E$49)*100</f>
        <v>14.097927353336296</v>
      </c>
      <c r="F104" s="111">
        <f>('Pivot Table for Data Exchange'!$E$52)*100</f>
        <v>1.1160800289744137</v>
      </c>
      <c r="G104" s="119">
        <f>('Pivot Table for Data Exchange'!$E$55)*100</f>
        <v>0</v>
      </c>
      <c r="H104" s="111">
        <f>('Pivot Table for Data Exchange'!$E$58)*100</f>
        <v>8.9902879203922842E-2</v>
      </c>
      <c r="I104" s="118" t="s">
        <v>654</v>
      </c>
      <c r="J104" s="111">
        <f>('Pivot Table for Data Exchange'!$E$61)*100</f>
        <v>47.743454033563722</v>
      </c>
      <c r="K104" s="111">
        <f>('Pivot Table for Data Exchange'!$E$64)*100</f>
        <v>9.9930427771673038</v>
      </c>
      <c r="L104" s="112">
        <f>SUM(M104:O104)</f>
        <v>42.263503189268967</v>
      </c>
      <c r="M104" s="111">
        <f>('Pivot Table for Data Exchange'!$E$67)*100</f>
        <v>39.211428051262374</v>
      </c>
      <c r="N104" s="111">
        <f>('Pivot Table for Data Exchange'!$E$70)*100</f>
        <v>2.9838033251623894</v>
      </c>
      <c r="O104" s="119">
        <f>('Pivot Table for Data Exchange'!$E$73)*100</f>
        <v>6.8271812844203722E-2</v>
      </c>
      <c r="P104" s="120">
        <f>('Pivot Table for Data Exchange'!$E$76)*100</f>
        <v>0</v>
      </c>
      <c r="Q104" s="160">
        <f t="shared" si="4"/>
        <v>100</v>
      </c>
      <c r="R104" s="160">
        <f t="shared" si="5"/>
        <v>100</v>
      </c>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row>
    <row r="105" spans="1:41" ht="15.75" customHeight="1">
      <c r="A105" s="118" t="s">
        <v>655</v>
      </c>
      <c r="B105" s="111">
        <f>('Pivot Table for Data Exchange'!$E$79)*100</f>
        <v>0</v>
      </c>
      <c r="C105" s="111">
        <f>('Pivot Table for Data Exchange'!$E$82)*100</f>
        <v>0</v>
      </c>
      <c r="D105" s="112">
        <f>SUM(E105:G105)</f>
        <v>0</v>
      </c>
      <c r="E105" s="111">
        <f>('Pivot Table for Data Exchange'!$E$85)*100</f>
        <v>0</v>
      </c>
      <c r="F105" s="111">
        <f>('Pivot Table for Data Exchange'!$E$88)*100</f>
        <v>0</v>
      </c>
      <c r="G105" s="119">
        <f>('Pivot Table for Data Exchange'!$E$91)*100</f>
        <v>0</v>
      </c>
      <c r="H105" s="111">
        <f>('Pivot Table for Data Exchange'!$E$94)*100</f>
        <v>0</v>
      </c>
      <c r="I105" s="118" t="s">
        <v>655</v>
      </c>
      <c r="J105" s="111">
        <f>('Pivot Table for Data Exchange'!$E$97)*100</f>
        <v>0</v>
      </c>
      <c r="K105" s="111">
        <f>('Pivot Table for Data Exchange'!$E$100)*100</f>
        <v>0</v>
      </c>
      <c r="L105" s="112">
        <f>SUM(M105:O105)</f>
        <v>0</v>
      </c>
      <c r="M105" s="111">
        <f>('Pivot Table for Data Exchange'!$E$103)*100</f>
        <v>0</v>
      </c>
      <c r="N105" s="111">
        <f>('Pivot Table for Data Exchange'!$E$106)*100</f>
        <v>0</v>
      </c>
      <c r="O105" s="119">
        <f>('Pivot Table for Data Exchange'!$E$109)*100</f>
        <v>0</v>
      </c>
      <c r="P105" s="111">
        <f>('Pivot Table for Data Exchange'!$E$112)*100</f>
        <v>0</v>
      </c>
      <c r="Q105" s="160">
        <f t="shared" si="4"/>
        <v>0</v>
      </c>
      <c r="R105" s="160">
        <f t="shared" si="5"/>
        <v>0</v>
      </c>
      <c r="S105" s="161"/>
      <c r="T105" s="167"/>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row>
    <row r="106" spans="1:41" ht="15.75" customHeight="1">
      <c r="A106" s="118" t="s">
        <v>695</v>
      </c>
      <c r="B106" s="111">
        <f>('Pivot Table for Data Exchange'!$E$115)*100</f>
        <v>85.071044073647997</v>
      </c>
      <c r="C106" s="111">
        <f>('Pivot Table for Data Exchange'!$E$118)*100</f>
        <v>1.2122953596144146</v>
      </c>
      <c r="D106" s="112">
        <f>SUM(E106:G106)</f>
        <v>13.716660566737593</v>
      </c>
      <c r="E106" s="111">
        <f>('Pivot Table for Data Exchange'!$E$121)*100</f>
        <v>12.893746926002791</v>
      </c>
      <c r="F106" s="111">
        <f>('Pivot Table for Data Exchange'!$E$124)*100</f>
        <v>4.7401168040286795E-2</v>
      </c>
      <c r="G106" s="121">
        <f>('Pivot Table for Data Exchange'!$E$127)*100</f>
        <v>0.77551247269451518</v>
      </c>
      <c r="H106" s="111">
        <f>('Pivot Table for Data Exchange'!$E$130)*100</f>
        <v>0</v>
      </c>
      <c r="I106" s="118" t="s">
        <v>695</v>
      </c>
      <c r="J106" s="111">
        <f>('Pivot Table for Data Exchange'!$E$133)*100</f>
        <v>58.29554804712803</v>
      </c>
      <c r="K106" s="111">
        <f>('Pivot Table for Data Exchange'!$E$136)*100</f>
        <v>18.734791057579525</v>
      </c>
      <c r="L106" s="112">
        <f>SUM(M106:O106)</f>
        <v>22.969660895292449</v>
      </c>
      <c r="M106" s="111">
        <f>('Pivot Table for Data Exchange'!$E$139)*100</f>
        <v>20.732305106703315</v>
      </c>
      <c r="N106" s="111">
        <f>('Pivot Table for Data Exchange'!$E$142)*100</f>
        <v>0.20220234239596646</v>
      </c>
      <c r="O106" s="121">
        <f>('Pivot Table for Data Exchange'!$E$145)*100</f>
        <v>2.0351534461931688</v>
      </c>
      <c r="P106" s="111">
        <f>('Pivot Table for Data Exchange'!$E$148)*100</f>
        <v>0</v>
      </c>
      <c r="Q106" s="160">
        <f t="shared" si="4"/>
        <v>100</v>
      </c>
      <c r="R106" s="160">
        <f t="shared" si="5"/>
        <v>100</v>
      </c>
      <c r="S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row>
    <row r="107" spans="1:41" ht="11.25" customHeight="1">
      <c r="A107" s="118"/>
      <c r="B107" s="111"/>
      <c r="C107" s="111"/>
      <c r="D107" s="112"/>
      <c r="E107" s="111"/>
      <c r="F107" s="111"/>
      <c r="G107" s="119"/>
      <c r="H107" s="111"/>
      <c r="I107" s="118"/>
      <c r="J107" s="111"/>
      <c r="K107" s="111"/>
      <c r="L107" s="112"/>
      <c r="M107" s="111"/>
      <c r="N107" s="111"/>
      <c r="O107" s="119"/>
      <c r="P107" s="111"/>
      <c r="Q107" s="160">
        <f t="shared" si="4"/>
        <v>0</v>
      </c>
      <c r="R107" s="160">
        <f t="shared" si="5"/>
        <v>0</v>
      </c>
      <c r="S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row>
    <row r="108" spans="1:41" ht="15.75" customHeight="1">
      <c r="A108" s="118" t="s">
        <v>657</v>
      </c>
      <c r="B108" s="111">
        <f>('Pivot Table for Data Exchange'!$E$151)*100</f>
        <v>0</v>
      </c>
      <c r="C108" s="111">
        <f>('Pivot Table for Data Exchange'!$E$154)*100</f>
        <v>0</v>
      </c>
      <c r="D108" s="112">
        <f>SUM(E108:G108)</f>
        <v>0</v>
      </c>
      <c r="E108" s="111">
        <f>('Pivot Table for Data Exchange'!$E$157)*100</f>
        <v>0</v>
      </c>
      <c r="F108" s="111">
        <f>('Pivot Table for Data Exchange'!$E$160)*100</f>
        <v>0</v>
      </c>
      <c r="G108" s="139">
        <f>('Pivot Table for Data Exchange'!$E$163)*100</f>
        <v>0</v>
      </c>
      <c r="H108" s="120">
        <f>('Pivot Table for Data Exchange'!$E$166)*100</f>
        <v>0</v>
      </c>
      <c r="I108" s="118" t="s">
        <v>657</v>
      </c>
      <c r="J108" s="111">
        <f>('Pivot Table for Data Exchange'!$E$169)*100</f>
        <v>0</v>
      </c>
      <c r="K108" s="111">
        <f>('Pivot Table for Data Exchange'!$E$172)*100</f>
        <v>0</v>
      </c>
      <c r="L108" s="112">
        <f>SUM(M108:O108)</f>
        <v>0</v>
      </c>
      <c r="M108" s="111">
        <f>('Pivot Table for Data Exchange'!$E$175)*100</f>
        <v>0</v>
      </c>
      <c r="N108" s="111">
        <f>('Pivot Table for Data Exchange'!$E$178)*100</f>
        <v>0</v>
      </c>
      <c r="O108" s="119">
        <f>('Pivot Table for Data Exchange'!$E$181)*100</f>
        <v>0</v>
      </c>
      <c r="P108" s="120">
        <f>('Pivot Table for Data Exchange'!$E$184)*100</f>
        <v>0</v>
      </c>
      <c r="Q108" s="160">
        <f t="shared" si="4"/>
        <v>0</v>
      </c>
      <c r="R108" s="160">
        <f t="shared" si="5"/>
        <v>0</v>
      </c>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row>
    <row r="109" spans="1:41" ht="15.75" customHeight="1">
      <c r="A109" s="118" t="s">
        <v>658</v>
      </c>
      <c r="B109" s="111">
        <f>('Pivot Table for Data Exchange'!$E$187)*100</f>
        <v>78.09768592206477</v>
      </c>
      <c r="C109" s="111">
        <f>('Pivot Table for Data Exchange'!$E$190)*100</f>
        <v>7.461246367473076</v>
      </c>
      <c r="D109" s="112">
        <f>SUM(E109:G109)</f>
        <v>14.441067710462157</v>
      </c>
      <c r="E109" s="111">
        <f>('Pivot Table for Data Exchange'!$E$193)*100</f>
        <v>11.704630880766562</v>
      </c>
      <c r="F109" s="111">
        <f>('Pivot Table for Data Exchange'!$E$196)*100</f>
        <v>2.628482857999253</v>
      </c>
      <c r="G109" s="119">
        <f>('Pivot Table for Data Exchange'!$E$199)*100</f>
        <v>0.10795397169634398</v>
      </c>
      <c r="H109" s="111">
        <f>('Pivot Table for Data Exchange'!$E$202)*100</f>
        <v>0</v>
      </c>
      <c r="I109" s="118" t="s">
        <v>658</v>
      </c>
      <c r="J109" s="111">
        <f>('Pivot Table for Data Exchange'!$E$205)*100</f>
        <v>47.048609747091035</v>
      </c>
      <c r="K109" s="111">
        <f>('Pivot Table for Data Exchange'!$E$208)*100</f>
        <v>6.297189638510674</v>
      </c>
      <c r="L109" s="112">
        <f>SUM(M109:O109)</f>
        <v>46.654200614398292</v>
      </c>
      <c r="M109" s="111">
        <f>('Pivot Table for Data Exchange'!$E$211)*100</f>
        <v>42.794962248289195</v>
      </c>
      <c r="N109" s="111">
        <f>('Pivot Table for Data Exchange'!$E$214)*100</f>
        <v>3.8466675570989715</v>
      </c>
      <c r="O109" s="119">
        <f>('Pivot Table for Data Exchange'!$E$217)*100</f>
        <v>1.257080901012736E-2</v>
      </c>
      <c r="P109" s="111">
        <f>('Pivot Table for Data Exchange'!$E$220)*100</f>
        <v>0</v>
      </c>
      <c r="Q109" s="160">
        <f t="shared" si="4"/>
        <v>100</v>
      </c>
      <c r="R109" s="160">
        <f t="shared" si="5"/>
        <v>100</v>
      </c>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row>
    <row r="110" spans="1:41" ht="15.75" customHeight="1">
      <c r="A110" s="118" t="s">
        <v>659</v>
      </c>
      <c r="B110" s="111">
        <f>('Pivot Table for Data Exchange'!$E$223)*100</f>
        <v>0</v>
      </c>
      <c r="C110" s="111">
        <f>('Pivot Table for Data Exchange'!$E$226)*100</f>
        <v>0</v>
      </c>
      <c r="D110" s="112">
        <f>SUM(E110:G110)</f>
        <v>0</v>
      </c>
      <c r="E110" s="111">
        <f>('Pivot Table for Data Exchange'!$E$229)*100</f>
        <v>0</v>
      </c>
      <c r="F110" s="111">
        <f>('Pivot Table for Data Exchange'!$E$232)*100</f>
        <v>0</v>
      </c>
      <c r="G110" s="119">
        <f>('Pivot Table for Data Exchange'!$E$235)*100</f>
        <v>0</v>
      </c>
      <c r="H110" s="111">
        <f>('Pivot Table for Data Exchange'!$E$238)*100</f>
        <v>0</v>
      </c>
      <c r="I110" s="118" t="s">
        <v>659</v>
      </c>
      <c r="J110" s="111">
        <f>('Pivot Table for Data Exchange'!$E$241)*100</f>
        <v>0</v>
      </c>
      <c r="K110" s="111">
        <f>('Pivot Table for Data Exchange'!$E$244)*100</f>
        <v>0</v>
      </c>
      <c r="L110" s="112">
        <f>SUM(M110:O110)</f>
        <v>0</v>
      </c>
      <c r="M110" s="111">
        <f>('Pivot Table for Data Exchange'!$E$247)*100</f>
        <v>0</v>
      </c>
      <c r="N110" s="111">
        <f>('Pivot Table for Data Exchange'!$E$250)*100</f>
        <v>0</v>
      </c>
      <c r="O110" s="119">
        <f>('Pivot Table for Data Exchange'!$E$253)*100</f>
        <v>0</v>
      </c>
      <c r="P110" s="111">
        <f>('Pivot Table for Data Exchange'!$E$256)*100</f>
        <v>0</v>
      </c>
      <c r="Q110" s="160">
        <f t="shared" si="4"/>
        <v>0</v>
      </c>
      <c r="R110" s="160">
        <f t="shared" si="5"/>
        <v>0</v>
      </c>
      <c r="S110" s="161"/>
      <c r="T110" s="167"/>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row>
    <row r="111" spans="1:41" ht="15.75" customHeight="1">
      <c r="A111" s="118" t="s">
        <v>700</v>
      </c>
      <c r="B111" s="111">
        <f>('Pivot Table for Data Exchange'!$E$259)*100</f>
        <v>94.778434896876234</v>
      </c>
      <c r="C111" s="111">
        <f>('Pivot Table for Data Exchange'!$E$262)*100</f>
        <v>1.467434083573242</v>
      </c>
      <c r="D111" s="112">
        <f>SUM(E111:G111)</f>
        <v>3.7541310195505244</v>
      </c>
      <c r="E111" s="111">
        <f>('Pivot Table for Data Exchange'!$E$265)*100</f>
        <v>3.7541310195505244</v>
      </c>
      <c r="F111" s="111">
        <f>('Pivot Table for Data Exchange'!$E$268)*100</f>
        <v>0</v>
      </c>
      <c r="G111" s="119">
        <f>('Pivot Table for Data Exchange'!$E$271)*100</f>
        <v>0</v>
      </c>
      <c r="H111" s="111">
        <f>('Pivot Table for Data Exchange'!$E$274)*100</f>
        <v>0</v>
      </c>
      <c r="I111" s="118" t="s">
        <v>700</v>
      </c>
      <c r="J111" s="111">
        <f>('Pivot Table for Data Exchange'!$E$277)*100</f>
        <v>69.324451400351165</v>
      </c>
      <c r="K111" s="111">
        <f>('Pivot Table for Data Exchange'!$E$280)*100</f>
        <v>21.720403238003801</v>
      </c>
      <c r="L111" s="112">
        <f>SUM(M111:O111)</f>
        <v>8.9551453616450427</v>
      </c>
      <c r="M111" s="111">
        <f>('Pivot Table for Data Exchange'!$E$283)*100</f>
        <v>8.7697032268246655</v>
      </c>
      <c r="N111" s="111">
        <f>('Pivot Table for Data Exchange'!$E$286)*100</f>
        <v>0.18544213482037758</v>
      </c>
      <c r="O111" s="119">
        <f>('Pivot Table for Data Exchange'!$E$289)*100</f>
        <v>0</v>
      </c>
      <c r="P111" s="111">
        <f>('Pivot Table for Data Exchange'!$E$292)*100</f>
        <v>0</v>
      </c>
      <c r="Q111" s="160">
        <f t="shared" si="4"/>
        <v>100</v>
      </c>
      <c r="R111" s="160">
        <f t="shared" si="5"/>
        <v>100</v>
      </c>
      <c r="S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row>
    <row r="112" spans="1:41" ht="11.25" customHeight="1">
      <c r="A112" s="118"/>
      <c r="B112" s="111"/>
      <c r="C112" s="111"/>
      <c r="D112" s="112"/>
      <c r="E112" s="111"/>
      <c r="F112" s="111"/>
      <c r="G112" s="119"/>
      <c r="H112" s="111"/>
      <c r="I112" s="118"/>
      <c r="J112" s="111"/>
      <c r="K112" s="111"/>
      <c r="L112" s="112"/>
      <c r="M112" s="111"/>
      <c r="N112" s="111"/>
      <c r="O112" s="119"/>
      <c r="P112" s="111"/>
      <c r="Q112" s="160">
        <f t="shared" si="4"/>
        <v>0</v>
      </c>
      <c r="R112" s="160">
        <f t="shared" si="5"/>
        <v>0</v>
      </c>
      <c r="S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row>
    <row r="113" spans="1:41" ht="15.75" customHeight="1">
      <c r="A113" s="118" t="s">
        <v>661</v>
      </c>
      <c r="B113" s="111">
        <f>('Pivot Table for Data Exchange'!$E$295)*100</f>
        <v>0</v>
      </c>
      <c r="C113" s="111">
        <f>('Pivot Table for Data Exchange'!$E$298)*100</f>
        <v>0</v>
      </c>
      <c r="D113" s="112">
        <f>SUM(E113:G113)</f>
        <v>0</v>
      </c>
      <c r="E113" s="111">
        <f>('Pivot Table for Data Exchange'!$E$301)*100</f>
        <v>0</v>
      </c>
      <c r="F113" s="111">
        <f>('Pivot Table for Data Exchange'!$E$304)*100</f>
        <v>0</v>
      </c>
      <c r="G113" s="119">
        <f>('Pivot Table for Data Exchange'!$E$307)*100</f>
        <v>0</v>
      </c>
      <c r="H113" s="111">
        <f>('Pivot Table for Data Exchange'!$E$310)*100</f>
        <v>0</v>
      </c>
      <c r="I113" s="118" t="s">
        <v>661</v>
      </c>
      <c r="J113" s="111">
        <f>('Pivot Table for Data Exchange'!$E$313)*100</f>
        <v>0</v>
      </c>
      <c r="K113" s="111">
        <f>('Pivot Table for Data Exchange'!$E$316)*100</f>
        <v>0</v>
      </c>
      <c r="L113" s="112">
        <f>SUM(M113:O113)</f>
        <v>0</v>
      </c>
      <c r="M113" s="111">
        <f>('Pivot Table for Data Exchange'!$E$319)*100</f>
        <v>0</v>
      </c>
      <c r="N113" s="111">
        <f>('Pivot Table for Data Exchange'!$E$322)*100</f>
        <v>0</v>
      </c>
      <c r="O113" s="119">
        <f>('Pivot Table for Data Exchange'!$E$325)*100</f>
        <v>0</v>
      </c>
      <c r="P113" s="111">
        <f>('Pivot Table for Data Exchange'!$E$328)*100</f>
        <v>0</v>
      </c>
      <c r="Q113" s="160">
        <f t="shared" si="4"/>
        <v>0</v>
      </c>
      <c r="R113" s="160">
        <f t="shared" si="5"/>
        <v>0</v>
      </c>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row>
    <row r="114" spans="1:41" ht="15.75" customHeight="1">
      <c r="A114" s="118" t="s">
        <v>662</v>
      </c>
      <c r="B114" s="111">
        <f>('Pivot Table for Data Exchange'!$E$331)*100</f>
        <v>90.445878691740432</v>
      </c>
      <c r="C114" s="111">
        <f>('Pivot Table for Data Exchange'!$E$334)*100</f>
        <v>1.5672474964581087</v>
      </c>
      <c r="D114" s="112">
        <f>SUM(E114:G114)</f>
        <v>7.9868738118014608</v>
      </c>
      <c r="E114" s="111">
        <f>('Pivot Table for Data Exchange'!$E$337)*100</f>
        <v>7.9749585265732659</v>
      </c>
      <c r="F114" s="120">
        <f>('Pivot Table for Data Exchange'!$E$340)*100</f>
        <v>1.1915285228194666E-2</v>
      </c>
      <c r="G114" s="119">
        <f>('Pivot Table for Data Exchange'!$E$343)*100</f>
        <v>0</v>
      </c>
      <c r="H114" s="111">
        <f>('Pivot Table for Data Exchange'!$E$346)*100</f>
        <v>0</v>
      </c>
      <c r="I114" s="118" t="s">
        <v>662</v>
      </c>
      <c r="J114" s="111">
        <f>('Pivot Table for Data Exchange'!$E$349)*100</f>
        <v>62.244499040582468</v>
      </c>
      <c r="K114" s="111">
        <f>('Pivot Table for Data Exchange'!$E$352)*100</f>
        <v>8.9302942811541701</v>
      </c>
      <c r="L114" s="112">
        <f>SUM(M114:O114)</f>
        <v>28.825206678263367</v>
      </c>
      <c r="M114" s="111">
        <f>('Pivot Table for Data Exchange'!$E$355)*100</f>
        <v>28.640137725732117</v>
      </c>
      <c r="N114" s="111">
        <f>('Pivot Table for Data Exchange'!$E$358)*100</f>
        <v>0.1850689525312483</v>
      </c>
      <c r="O114" s="119">
        <f>('Pivot Table for Data Exchange'!$E$361)*100</f>
        <v>0</v>
      </c>
      <c r="P114" s="111">
        <f>('Pivot Table for Data Exchange'!$E$364)*100</f>
        <v>0</v>
      </c>
      <c r="Q114" s="160">
        <f t="shared" si="4"/>
        <v>100</v>
      </c>
      <c r="R114" s="160">
        <f t="shared" si="5"/>
        <v>100.00000000000001</v>
      </c>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row>
    <row r="115" spans="1:41" ht="15.75" customHeight="1">
      <c r="A115" s="118" t="s">
        <v>663</v>
      </c>
      <c r="B115" s="111">
        <f>('Pivot Table for Data Exchange'!$E$367)*100</f>
        <v>91.537064883262005</v>
      </c>
      <c r="C115" s="111">
        <f>('Pivot Table for Data Exchange'!$E$370)*100</f>
        <v>0.33841926133117417</v>
      </c>
      <c r="D115" s="112">
        <f>SUM(E115:G115)</f>
        <v>8.1245158554068215</v>
      </c>
      <c r="E115" s="111">
        <f>('Pivot Table for Data Exchange'!$E$373)*100</f>
        <v>7.6122426804347745</v>
      </c>
      <c r="F115" s="111">
        <f>('Pivot Table for Data Exchange'!$E$376)*100</f>
        <v>0.19716295649796528</v>
      </c>
      <c r="G115" s="119">
        <f>('Pivot Table for Data Exchange'!$E$379)*100</f>
        <v>0.31511021847408138</v>
      </c>
      <c r="H115" s="111">
        <f>('Pivot Table for Data Exchange'!$E$382)*100</f>
        <v>0</v>
      </c>
      <c r="I115" s="118" t="s">
        <v>663</v>
      </c>
      <c r="J115" s="111">
        <f>('Pivot Table for Data Exchange'!$E$385)*100</f>
        <v>88.30617468939252</v>
      </c>
      <c r="K115" s="111">
        <f>('Pivot Table for Data Exchange'!$E$388)*100</f>
        <v>4.0415391979355269</v>
      </c>
      <c r="L115" s="112">
        <f>SUM(M115:O115)</f>
        <v>7.6522861126719519</v>
      </c>
      <c r="M115" s="111">
        <f>('Pivot Table for Data Exchange'!$E$391)*100</f>
        <v>3.9874300222680068</v>
      </c>
      <c r="N115" s="111">
        <f>('Pivot Table for Data Exchange'!$E$394)*100</f>
        <v>1.3985140787912842</v>
      </c>
      <c r="O115" s="119">
        <f>('Pivot Table for Data Exchange'!$E$397)*100</f>
        <v>2.2663420116126614</v>
      </c>
      <c r="P115" s="111">
        <f>('Pivot Table for Data Exchange'!$E$400)*100</f>
        <v>0</v>
      </c>
      <c r="Q115" s="160">
        <f t="shared" si="4"/>
        <v>100</v>
      </c>
      <c r="R115" s="160">
        <f t="shared" si="5"/>
        <v>100</v>
      </c>
      <c r="S115" s="161"/>
      <c r="T115" s="167"/>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row>
    <row r="116" spans="1:41" ht="15.75" customHeight="1">
      <c r="A116" s="118" t="s">
        <v>664</v>
      </c>
      <c r="B116" s="111">
        <f>('Pivot Table for Data Exchange'!$E$403)*100</f>
        <v>99.714630816450139</v>
      </c>
      <c r="C116" s="111">
        <f>('Pivot Table for Data Exchange'!$E$406)*100</f>
        <v>0.21419797230481807</v>
      </c>
      <c r="D116" s="112">
        <f>SUM(E116:G116)</f>
        <v>7.1171211245051366E-2</v>
      </c>
      <c r="E116" s="111">
        <f>('Pivot Table for Data Exchange'!$E$409)*100</f>
        <v>7.1171211245051366E-2</v>
      </c>
      <c r="F116" s="111">
        <f>('Pivot Table for Data Exchange'!$E$412)*100</f>
        <v>0</v>
      </c>
      <c r="G116" s="119">
        <f>('Pivot Table for Data Exchange'!$E$415)*100</f>
        <v>0</v>
      </c>
      <c r="H116" s="111">
        <f>('Pivot Table for Data Exchange'!$E$418)*100</f>
        <v>0</v>
      </c>
      <c r="I116" s="118" t="s">
        <v>664</v>
      </c>
      <c r="J116" s="111">
        <f>('Pivot Table for Data Exchange'!$E$421)*100</f>
        <v>79.569626514964128</v>
      </c>
      <c r="K116" s="111">
        <f>('Pivot Table for Data Exchange'!$E$424)*100</f>
        <v>19.080990463627121</v>
      </c>
      <c r="L116" s="112">
        <f>SUM(M116:O116)</f>
        <v>1.349383021408745</v>
      </c>
      <c r="M116" s="111">
        <f>('Pivot Table for Data Exchange'!$E$427)*100</f>
        <v>0.97012669359936243</v>
      </c>
      <c r="N116" s="111">
        <f>('Pivot Table for Data Exchange'!$E$430)*100</f>
        <v>0</v>
      </c>
      <c r="O116" s="119">
        <f>('Pivot Table for Data Exchange'!$E$433)*100</f>
        <v>0.37925632780938245</v>
      </c>
      <c r="P116" s="111">
        <f>('Pivot Table for Data Exchange'!$E$436)*100</f>
        <v>0</v>
      </c>
      <c r="Q116" s="160">
        <f t="shared" si="4"/>
        <v>100.00000000000001</v>
      </c>
      <c r="R116" s="160">
        <f t="shared" si="5"/>
        <v>99.999999999999986</v>
      </c>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row>
    <row r="117" spans="1:41" ht="11.25" customHeight="1">
      <c r="A117" s="118"/>
      <c r="B117" s="111"/>
      <c r="C117" s="111"/>
      <c r="D117" s="112"/>
      <c r="E117" s="111"/>
      <c r="F117" s="111"/>
      <c r="G117" s="119"/>
      <c r="H117" s="111"/>
      <c r="I117" s="118"/>
      <c r="J117" s="111"/>
      <c r="K117" s="111"/>
      <c r="L117" s="112"/>
      <c r="M117" s="111"/>
      <c r="N117" s="111"/>
      <c r="O117" s="119"/>
      <c r="P117" s="111"/>
      <c r="Q117" s="160">
        <f t="shared" si="4"/>
        <v>0</v>
      </c>
      <c r="R117" s="160">
        <f t="shared" si="5"/>
        <v>0</v>
      </c>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row>
    <row r="118" spans="1:41" ht="15.75" customHeight="1">
      <c r="A118" s="118" t="s">
        <v>665</v>
      </c>
      <c r="B118" s="111">
        <f>('Pivot Table for Data Exchange'!$E$439)*100</f>
        <v>82.819648180196751</v>
      </c>
      <c r="C118" s="111">
        <f>('Pivot Table for Data Exchange'!$E$442)*100</f>
        <v>3.465895675167781</v>
      </c>
      <c r="D118" s="112">
        <f>SUM(E118:G118)</f>
        <v>13.056408200447706</v>
      </c>
      <c r="E118" s="111">
        <f>('Pivot Table for Data Exchange'!$E$445)*100</f>
        <v>9.7752997794980168</v>
      </c>
      <c r="F118" s="111">
        <f>('Pivot Table for Data Exchange'!$E$448)*100</f>
        <v>0.68889985125166342</v>
      </c>
      <c r="G118" s="119">
        <f>('Pivot Table for Data Exchange'!$E$451)*100</f>
        <v>2.5922085696980242</v>
      </c>
      <c r="H118" s="111">
        <f>('Pivot Table for Data Exchange'!$E$454)*100</f>
        <v>0.65804794418776547</v>
      </c>
      <c r="I118" s="118" t="s">
        <v>665</v>
      </c>
      <c r="J118" s="111">
        <f>('Pivot Table for Data Exchange'!$E$457)*100</f>
        <v>66.713510474996212</v>
      </c>
      <c r="K118" s="111">
        <f>('Pivot Table for Data Exchange'!$E$460)*100</f>
        <v>7.4022225585367432</v>
      </c>
      <c r="L118" s="112">
        <f>SUM(M118:O118)</f>
        <v>19.352258231898471</v>
      </c>
      <c r="M118" s="111">
        <f>('Pivot Table for Data Exchange'!$E$463)*100</f>
        <v>16.479471601842043</v>
      </c>
      <c r="N118" s="111">
        <f>('Pivot Table for Data Exchange'!$E$466)*100</f>
        <v>0.45456510929020821</v>
      </c>
      <c r="O118" s="119">
        <f>('Pivot Table for Data Exchange'!$E$469)*100</f>
        <v>2.4182215207662208</v>
      </c>
      <c r="P118" s="111">
        <f>('Pivot Table for Data Exchange'!$E$472)*100</f>
        <v>6.5320087345685689</v>
      </c>
      <c r="Q118" s="160">
        <f t="shared" si="4"/>
        <v>100.00000000000001</v>
      </c>
      <c r="R118" s="160">
        <f t="shared" si="5"/>
        <v>100</v>
      </c>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row>
    <row r="119" spans="1:41" ht="15.75" customHeight="1">
      <c r="A119" s="118" t="s">
        <v>666</v>
      </c>
      <c r="B119" s="111">
        <f>('Pivot Table for Data Exchange'!$E$475)*100</f>
        <v>89.888044762565059</v>
      </c>
      <c r="C119" s="111">
        <f>('Pivot Table for Data Exchange'!$E$478)*100</f>
        <v>2.6404200884705147</v>
      </c>
      <c r="D119" s="112">
        <f>SUM(E119:G119)</f>
        <v>7.4715351489644259</v>
      </c>
      <c r="E119" s="111">
        <f>('Pivot Table for Data Exchange'!$E$481)*100</f>
        <v>7.0762252580390008</v>
      </c>
      <c r="F119" s="111">
        <f>('Pivot Table for Data Exchange'!$E$484)*100</f>
        <v>0.26448387317273231</v>
      </c>
      <c r="G119" s="121">
        <f>('Pivot Table for Data Exchange'!$E$487)*100</f>
        <v>0.13082601775269267</v>
      </c>
      <c r="H119" s="111">
        <f>('Pivot Table for Data Exchange'!$E$490)*100</f>
        <v>0</v>
      </c>
      <c r="I119" s="118" t="s">
        <v>666</v>
      </c>
      <c r="J119" s="111">
        <f>('Pivot Table for Data Exchange'!$E$493)*100</f>
        <v>57.720477682126514</v>
      </c>
      <c r="K119" s="111">
        <f>('Pivot Table for Data Exchange'!$E$496)*100</f>
        <v>8.3849744401076496</v>
      </c>
      <c r="L119" s="112">
        <f>SUM(M119:O119)</f>
        <v>33.894547877765845</v>
      </c>
      <c r="M119" s="111">
        <f>('Pivot Table for Data Exchange'!$E$499)*100</f>
        <v>26.072601276256879</v>
      </c>
      <c r="N119" s="111">
        <f>('Pivot Table for Data Exchange'!$E$502)*100</f>
        <v>0.46118114959827977</v>
      </c>
      <c r="O119" s="119">
        <f>('Pivot Table for Data Exchange'!$E$505)*100</f>
        <v>7.3607654519106838</v>
      </c>
      <c r="P119" s="111">
        <f>('Pivot Table for Data Exchange'!$E$508)*100</f>
        <v>0</v>
      </c>
      <c r="Q119" s="160">
        <f t="shared" si="4"/>
        <v>100</v>
      </c>
      <c r="R119" s="160">
        <f t="shared" si="5"/>
        <v>100.00000000000001</v>
      </c>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row>
    <row r="120" spans="1:41" ht="15.75" customHeight="1">
      <c r="A120" s="118" t="s">
        <v>667</v>
      </c>
      <c r="B120" s="111">
        <f>('Pivot Table for Data Exchange'!$E$511)*100</f>
        <v>96.096778445481618</v>
      </c>
      <c r="C120" s="111">
        <f>('Pivot Table for Data Exchange'!$E$514)*100</f>
        <v>1.0934232836250126</v>
      </c>
      <c r="D120" s="112">
        <f>SUM(E120:G120)</f>
        <v>2.809798270893372</v>
      </c>
      <c r="E120" s="111">
        <f>('Pivot Table for Data Exchange'!$E$517)*100</f>
        <v>2.809798270893372</v>
      </c>
      <c r="F120" s="111">
        <f>('Pivot Table for Data Exchange'!$E$520)*100</f>
        <v>0</v>
      </c>
      <c r="G120" s="119">
        <f>('Pivot Table for Data Exchange'!$E$523)*100</f>
        <v>0</v>
      </c>
      <c r="H120" s="111">
        <f>('Pivot Table for Data Exchange'!$E$526)*100</f>
        <v>0</v>
      </c>
      <c r="I120" s="118" t="s">
        <v>667</v>
      </c>
      <c r="J120" s="111">
        <f>('Pivot Table for Data Exchange'!$E$529)*100</f>
        <v>84.37341786083779</v>
      </c>
      <c r="K120" s="111">
        <f>('Pivot Table for Data Exchange'!$E$532)*100</f>
        <v>6.4055999471703098</v>
      </c>
      <c r="L120" s="112">
        <f>SUM(M120:O120)</f>
        <v>9.2209821919918991</v>
      </c>
      <c r="M120" s="111">
        <f>('Pivot Table for Data Exchange'!$E$535)*100</f>
        <v>9.1989698210394231</v>
      </c>
      <c r="N120" s="111">
        <f>('Pivot Table for Data Exchange'!$E$538)*100</f>
        <v>2.2012370952475289E-2</v>
      </c>
      <c r="O120" s="119">
        <f>('Pivot Table for Data Exchange'!$E$541)*100</f>
        <v>0</v>
      </c>
      <c r="P120" s="111">
        <f>('Pivot Table for Data Exchange'!$E$544)*100</f>
        <v>0</v>
      </c>
      <c r="Q120" s="160">
        <f t="shared" si="4"/>
        <v>100</v>
      </c>
      <c r="R120" s="160">
        <f t="shared" si="5"/>
        <v>100</v>
      </c>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row>
    <row r="121" spans="1:41" ht="15.75" customHeight="1">
      <c r="A121" s="91" t="s">
        <v>668</v>
      </c>
      <c r="B121" s="122">
        <f>('Pivot Table for Data Exchange'!$E$547)*100</f>
        <v>81.460380709334174</v>
      </c>
      <c r="C121" s="122">
        <f>('Pivot Table for Data Exchange'!$E$550)*100</f>
        <v>5.5386417735592817</v>
      </c>
      <c r="D121" s="123">
        <f>SUM(E121:G121)</f>
        <v>13.00097751710655</v>
      </c>
      <c r="E121" s="122">
        <f>('Pivot Table for Data Exchange'!$E$553)*100</f>
        <v>12.909195376567945</v>
      </c>
      <c r="F121" s="133">
        <f>('Pivot Table for Data Exchange'!$E$556)*100</f>
        <v>9.1782140538604465E-2</v>
      </c>
      <c r="G121" s="124">
        <f>('Pivot Table for Data Exchange'!$E$559)*100</f>
        <v>0</v>
      </c>
      <c r="H121" s="122">
        <f>('Pivot Table for Data Exchange'!$E$562)*100</f>
        <v>0</v>
      </c>
      <c r="I121" s="91" t="s">
        <v>668</v>
      </c>
      <c r="J121" s="122">
        <f>('Pivot Table for Data Exchange'!$E$565)*100</f>
        <v>32.981478151411615</v>
      </c>
      <c r="K121" s="122">
        <f>('Pivot Table for Data Exchange'!$E$568)*100</f>
        <v>44.707786369358026</v>
      </c>
      <c r="L121" s="123">
        <f>SUM(M121:O121)</f>
        <v>22.310735479230352</v>
      </c>
      <c r="M121" s="122">
        <f>('Pivot Table for Data Exchange'!$E$571)*100</f>
        <v>21.458370796619313</v>
      </c>
      <c r="N121" s="122">
        <f>('Pivot Table for Data Exchange'!$E$574)*100</f>
        <v>0.85236468261104115</v>
      </c>
      <c r="O121" s="124">
        <f>('Pivot Table for Data Exchange'!$E$577)*100</f>
        <v>0</v>
      </c>
      <c r="P121" s="122">
        <f>('Pivot Table for Data Exchange'!$E$580)*100</f>
        <v>0</v>
      </c>
      <c r="Q121" s="160">
        <f t="shared" si="4"/>
        <v>100</v>
      </c>
      <c r="R121" s="160">
        <f t="shared" si="5"/>
        <v>100</v>
      </c>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row>
    <row r="122" spans="1:41" s="166" customFormat="1" ht="18" customHeight="1">
      <c r="A122" s="58" t="s">
        <v>697</v>
      </c>
      <c r="B122" s="126"/>
      <c r="C122" s="126"/>
      <c r="D122" s="127"/>
      <c r="E122" s="126"/>
      <c r="F122" s="127"/>
      <c r="G122" s="127"/>
      <c r="H122" s="126"/>
      <c r="I122" s="58" t="s">
        <v>697</v>
      </c>
      <c r="J122" s="126"/>
      <c r="K122" s="126"/>
      <c r="L122" s="127"/>
      <c r="M122" s="126"/>
      <c r="N122" s="127"/>
      <c r="O122" s="127"/>
      <c r="P122" s="126"/>
      <c r="Q122" s="160">
        <f t="shared" si="4"/>
        <v>0</v>
      </c>
      <c r="R122" s="160">
        <f t="shared" si="5"/>
        <v>0</v>
      </c>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row>
    <row r="123" spans="1:41" s="166" customFormat="1" ht="28.5" customHeight="1">
      <c r="A123" s="649" t="s">
        <v>698</v>
      </c>
      <c r="B123" s="650"/>
      <c r="C123" s="650"/>
      <c r="D123" s="650"/>
      <c r="E123" s="650"/>
      <c r="F123" s="650"/>
      <c r="G123" s="650"/>
      <c r="H123" s="650"/>
      <c r="I123" s="649" t="s">
        <v>698</v>
      </c>
      <c r="J123" s="650"/>
      <c r="K123" s="650"/>
      <c r="L123" s="650"/>
      <c r="M123" s="650"/>
      <c r="N123" s="650"/>
      <c r="O123" s="650"/>
      <c r="P123" s="650"/>
      <c r="Q123" s="160">
        <f t="shared" si="4"/>
        <v>0</v>
      </c>
      <c r="R123" s="160">
        <f t="shared" si="5"/>
        <v>0</v>
      </c>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row>
    <row r="124" spans="1:41" s="166" customFormat="1" ht="13.5" customHeight="1">
      <c r="A124" s="134"/>
      <c r="B124" s="135"/>
      <c r="C124" s="60"/>
      <c r="D124" s="60"/>
      <c r="E124" s="60"/>
      <c r="F124" s="60"/>
      <c r="G124" s="60"/>
      <c r="H124" s="62"/>
      <c r="I124" s="134"/>
      <c r="J124" s="60"/>
      <c r="K124" s="60"/>
      <c r="L124" s="60"/>
      <c r="M124" s="60"/>
      <c r="N124" s="60"/>
      <c r="O124" s="60"/>
      <c r="P124" s="136"/>
      <c r="Q124" s="160">
        <f t="shared" si="4"/>
        <v>0</v>
      </c>
      <c r="R124" s="160">
        <f t="shared" si="5"/>
        <v>0</v>
      </c>
    </row>
    <row r="125" spans="1:41" s="166" customFormat="1" ht="13.5" customHeight="1">
      <c r="A125" s="60"/>
      <c r="B125" s="60"/>
      <c r="C125" s="60"/>
      <c r="D125" s="60"/>
      <c r="E125" s="60"/>
      <c r="F125" s="60"/>
      <c r="G125" s="60"/>
      <c r="H125" s="64" t="s">
        <v>1034</v>
      </c>
      <c r="I125" s="134"/>
      <c r="J125" s="60"/>
      <c r="K125" s="60"/>
      <c r="L125" s="60"/>
      <c r="M125" s="60"/>
      <c r="N125" s="60"/>
      <c r="O125" s="60"/>
      <c r="P125" s="64" t="s">
        <v>1034</v>
      </c>
      <c r="Q125" s="160">
        <f t="shared" si="4"/>
        <v>0</v>
      </c>
      <c r="R125" s="160">
        <f t="shared" si="5"/>
        <v>0</v>
      </c>
    </row>
    <row r="126" spans="1:41" ht="18">
      <c r="A126" s="31" t="s">
        <v>1015</v>
      </c>
      <c r="B126" s="86"/>
      <c r="C126" s="86"/>
      <c r="D126" s="86"/>
      <c r="E126" s="86"/>
      <c r="F126" s="86"/>
      <c r="G126" s="86"/>
      <c r="H126" s="87"/>
      <c r="I126" s="31" t="s">
        <v>1030</v>
      </c>
      <c r="J126" s="38"/>
      <c r="K126" s="38"/>
      <c r="L126" s="86"/>
      <c r="M126" s="38"/>
      <c r="N126" s="38"/>
      <c r="O126" s="38"/>
      <c r="P126" s="38"/>
      <c r="Q126" s="160">
        <f t="shared" si="4"/>
        <v>0</v>
      </c>
      <c r="R126" s="160">
        <f t="shared" si="5"/>
        <v>0</v>
      </c>
    </row>
    <row r="127" spans="1:41">
      <c r="A127" s="37"/>
      <c r="B127" s="38"/>
      <c r="C127" s="38"/>
      <c r="D127" s="38"/>
      <c r="E127" s="38"/>
      <c r="F127" s="38"/>
      <c r="G127" s="38"/>
      <c r="H127" s="88"/>
      <c r="I127" s="37"/>
      <c r="J127" s="38"/>
      <c r="K127" s="38"/>
      <c r="L127" s="38"/>
      <c r="M127" s="38"/>
      <c r="N127" s="38"/>
      <c r="O127" s="38"/>
      <c r="P127" s="38"/>
      <c r="Q127" s="160">
        <f t="shared" si="4"/>
        <v>0</v>
      </c>
      <c r="R127" s="160">
        <f t="shared" si="5"/>
        <v>0</v>
      </c>
    </row>
    <row r="128" spans="1:41" ht="15.75">
      <c r="A128" s="89" t="s">
        <v>683</v>
      </c>
      <c r="B128" s="38"/>
      <c r="C128" s="38"/>
      <c r="D128" s="38"/>
      <c r="E128" s="38"/>
      <c r="F128" s="38"/>
      <c r="G128" s="38"/>
      <c r="H128" s="88"/>
      <c r="I128" s="89" t="s">
        <v>684</v>
      </c>
      <c r="J128" s="38"/>
      <c r="K128" s="38"/>
      <c r="L128" s="38"/>
      <c r="M128" s="38"/>
      <c r="N128" s="38"/>
      <c r="O128" s="38"/>
      <c r="P128" s="38"/>
      <c r="Q128" s="160">
        <f t="shared" si="4"/>
        <v>0</v>
      </c>
      <c r="R128" s="160">
        <f t="shared" si="5"/>
        <v>0</v>
      </c>
    </row>
    <row r="129" spans="1:41" ht="15.75">
      <c r="A129" s="89" t="s">
        <v>984</v>
      </c>
      <c r="B129" s="38"/>
      <c r="C129" s="38"/>
      <c r="D129" s="38"/>
      <c r="E129" s="38"/>
      <c r="F129" s="38"/>
      <c r="G129" s="38"/>
      <c r="H129" s="88"/>
      <c r="I129" s="89" t="s">
        <v>984</v>
      </c>
      <c r="J129" s="38"/>
      <c r="K129" s="38"/>
      <c r="L129" s="38"/>
      <c r="M129" s="38"/>
      <c r="N129" s="38"/>
      <c r="O129" s="38"/>
      <c r="P129" s="38"/>
      <c r="Q129" s="160">
        <f t="shared" si="4"/>
        <v>0</v>
      </c>
      <c r="R129" s="160">
        <f t="shared" si="5"/>
        <v>0</v>
      </c>
    </row>
    <row r="130" spans="1:41">
      <c r="A130" s="91"/>
      <c r="B130" s="92"/>
      <c r="C130" s="92"/>
      <c r="D130" s="92"/>
      <c r="E130" s="92"/>
      <c r="F130" s="92"/>
      <c r="G130" s="92"/>
      <c r="H130" s="92"/>
      <c r="I130" s="93"/>
      <c r="L130" s="94"/>
      <c r="P130" s="91"/>
      <c r="Q130" s="160">
        <f t="shared" si="4"/>
        <v>0</v>
      </c>
      <c r="R130" s="160">
        <f t="shared" si="5"/>
        <v>0</v>
      </c>
    </row>
    <row r="131" spans="1:41" s="109" customFormat="1">
      <c r="A131" s="95"/>
      <c r="B131" s="96" t="s">
        <v>685</v>
      </c>
      <c r="C131" s="96"/>
      <c r="D131" s="96"/>
      <c r="E131" s="96"/>
      <c r="F131" s="96"/>
      <c r="G131" s="96"/>
      <c r="H131" s="97"/>
      <c r="I131" s="95"/>
      <c r="J131" s="96" t="s">
        <v>685</v>
      </c>
      <c r="K131" s="96"/>
      <c r="L131" s="96"/>
      <c r="M131" s="96"/>
      <c r="N131" s="96"/>
      <c r="O131" s="96"/>
      <c r="P131" s="97"/>
      <c r="Q131" s="160">
        <f t="shared" si="4"/>
        <v>0</v>
      </c>
      <c r="R131" s="160">
        <f t="shared" si="5"/>
        <v>0</v>
      </c>
    </row>
    <row r="132" spans="1:41" s="109" customFormat="1">
      <c r="A132" s="95"/>
      <c r="B132" s="96" t="s">
        <v>686</v>
      </c>
      <c r="C132" s="96"/>
      <c r="D132" s="647" t="s">
        <v>687</v>
      </c>
      <c r="E132" s="648"/>
      <c r="F132" s="648"/>
      <c r="G132" s="648"/>
      <c r="H132" s="101" t="s">
        <v>59</v>
      </c>
      <c r="I132" s="95"/>
      <c r="J132" s="96" t="s">
        <v>686</v>
      </c>
      <c r="K132" s="96"/>
      <c r="L132" s="647" t="s">
        <v>687</v>
      </c>
      <c r="M132" s="648"/>
      <c r="N132" s="648"/>
      <c r="O132" s="648"/>
      <c r="P132" s="101" t="s">
        <v>59</v>
      </c>
      <c r="Q132" s="160">
        <f t="shared" si="4"/>
        <v>0</v>
      </c>
      <c r="R132" s="160">
        <f t="shared" si="5"/>
        <v>0</v>
      </c>
    </row>
    <row r="133" spans="1:41" s="109" customFormat="1" ht="40.5" customHeight="1">
      <c r="A133" s="95"/>
      <c r="B133" s="102" t="s">
        <v>688</v>
      </c>
      <c r="C133" s="103" t="s">
        <v>689</v>
      </c>
      <c r="D133" s="104" t="s">
        <v>690</v>
      </c>
      <c r="E133" s="105" t="s">
        <v>9</v>
      </c>
      <c r="F133" s="102" t="s">
        <v>691</v>
      </c>
      <c r="G133" s="106" t="s">
        <v>692</v>
      </c>
      <c r="H133" s="107" t="s">
        <v>693</v>
      </c>
      <c r="I133" s="95"/>
      <c r="J133" s="102" t="s">
        <v>688</v>
      </c>
      <c r="K133" s="103" t="s">
        <v>689</v>
      </c>
      <c r="L133" s="104" t="s">
        <v>690</v>
      </c>
      <c r="M133" s="105" t="s">
        <v>9</v>
      </c>
      <c r="N133" s="102" t="s">
        <v>691</v>
      </c>
      <c r="O133" s="106" t="s">
        <v>692</v>
      </c>
      <c r="P133" s="107" t="s">
        <v>693</v>
      </c>
      <c r="Q133" s="160">
        <f t="shared" si="4"/>
        <v>0</v>
      </c>
      <c r="R133" s="160">
        <f t="shared" si="5"/>
        <v>0</v>
      </c>
      <c r="T133" s="108"/>
    </row>
    <row r="134" spans="1:41" ht="15.75" customHeight="1">
      <c r="A134" s="115" t="s">
        <v>653</v>
      </c>
      <c r="B134" s="111">
        <f>('Pivot Table for Data Exchange'!$F$7)*100</f>
        <v>90.336655813132026</v>
      </c>
      <c r="C134" s="111">
        <f>('Pivot Table for Data Exchange'!$F$10)*100</f>
        <v>0.54388435777718402</v>
      </c>
      <c r="D134" s="112">
        <f>SUM(E134:G134)</f>
        <v>9.1194598290907933</v>
      </c>
      <c r="E134" s="111">
        <f>('Pivot Table for Data Exchange'!$F$13)*100</f>
        <v>9.1194598290907933</v>
      </c>
      <c r="F134" s="111">
        <f>('Pivot Table for Data Exchange'!$F$16)*100</f>
        <v>0</v>
      </c>
      <c r="G134" s="113">
        <f>('Pivot Table for Data Exchange'!$F$19)*100</f>
        <v>0</v>
      </c>
      <c r="H134" s="111">
        <f>('Pivot Table for Data Exchange'!$F$22)*100</f>
        <v>0</v>
      </c>
      <c r="I134" s="115" t="s">
        <v>653</v>
      </c>
      <c r="J134" s="111">
        <f>('Pivot Table for Data Exchange'!$F$25)*100</f>
        <v>65.979360459199256</v>
      </c>
      <c r="K134" s="111">
        <f>('Pivot Table for Data Exchange'!$F$28)*100</f>
        <v>11.722200736835678</v>
      </c>
      <c r="L134" s="112">
        <f>SUM(M134:O134)</f>
        <v>22.298438803965073</v>
      </c>
      <c r="M134" s="111">
        <f>('Pivot Table for Data Exchange'!$F$31)*100</f>
        <v>22.212949581713449</v>
      </c>
      <c r="N134" s="111">
        <f>('Pivot Table for Data Exchange'!$F$34)*100</f>
        <v>8.5489222251623281E-2</v>
      </c>
      <c r="O134" s="113">
        <f>('Pivot Table for Data Exchange'!$F$37)*100</f>
        <v>0</v>
      </c>
      <c r="P134" s="111">
        <f>('Pivot Table for Data Exchange'!$F$40)*100</f>
        <v>0</v>
      </c>
      <c r="Q134" s="160">
        <f t="shared" si="4"/>
        <v>100</v>
      </c>
      <c r="R134" s="160">
        <f t="shared" si="5"/>
        <v>100</v>
      </c>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row>
    <row r="135" spans="1:41" ht="15.75" customHeight="1">
      <c r="A135" s="118" t="s">
        <v>654</v>
      </c>
      <c r="B135" s="111">
        <f>('Pivot Table for Data Exchange'!$F$43)*100</f>
        <v>82.287869306235706</v>
      </c>
      <c r="C135" s="111">
        <f>('Pivot Table for Data Exchange'!$F$46)*100</f>
        <v>5.0973614242812539</v>
      </c>
      <c r="D135" s="112">
        <f>SUM(E135:G135)</f>
        <v>12.614769269483045</v>
      </c>
      <c r="E135" s="111">
        <f>('Pivot Table for Data Exchange'!$F$49)*100</f>
        <v>11.314188842423821</v>
      </c>
      <c r="F135" s="120">
        <f>('Pivot Table for Data Exchange'!$F$52)*100</f>
        <v>1.0674825093785489</v>
      </c>
      <c r="G135" s="119">
        <f>('Pivot Table for Data Exchange'!$F$55)*100</f>
        <v>0.23309791768067573</v>
      </c>
      <c r="H135" s="111">
        <f>('Pivot Table for Data Exchange'!$F$58)*100</f>
        <v>0</v>
      </c>
      <c r="I135" s="118" t="s">
        <v>654</v>
      </c>
      <c r="J135" s="111">
        <f>('Pivot Table for Data Exchange'!$F$61)*100</f>
        <v>62.82215227228015</v>
      </c>
      <c r="K135" s="111">
        <f>('Pivot Table for Data Exchange'!$F$64)*100</f>
        <v>11.031870942356877</v>
      </c>
      <c r="L135" s="112">
        <f>SUM(M135:O135)</f>
        <v>26.145976785362972</v>
      </c>
      <c r="M135" s="111">
        <f>('Pivot Table for Data Exchange'!$F$67)*100</f>
        <v>23.844186504033051</v>
      </c>
      <c r="N135" s="111">
        <f>('Pivot Table for Data Exchange'!$F$70)*100</f>
        <v>2.1985048199881958</v>
      </c>
      <c r="O135" s="119">
        <f>('Pivot Table for Data Exchange'!$F$73)*100</f>
        <v>0.10328546134172734</v>
      </c>
      <c r="P135" s="111">
        <f>('Pivot Table for Data Exchange'!$F$76)*100</f>
        <v>0</v>
      </c>
      <c r="Q135" s="160">
        <f t="shared" si="4"/>
        <v>100.00000000000001</v>
      </c>
      <c r="R135" s="160">
        <f t="shared" si="5"/>
        <v>100</v>
      </c>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row>
    <row r="136" spans="1:41" ht="15.75" customHeight="1">
      <c r="A136" s="118" t="s">
        <v>655</v>
      </c>
      <c r="B136" s="111">
        <f>('Pivot Table for Data Exchange'!$F$79)*100</f>
        <v>0</v>
      </c>
      <c r="C136" s="111">
        <f>('Pivot Table for Data Exchange'!$F$82)*100</f>
        <v>0</v>
      </c>
      <c r="D136" s="112">
        <f>SUM(E136:G136)</f>
        <v>0</v>
      </c>
      <c r="E136" s="111">
        <f>('Pivot Table for Data Exchange'!$F$85)*100</f>
        <v>0</v>
      </c>
      <c r="F136" s="111">
        <f>('Pivot Table for Data Exchange'!$F$88)*100</f>
        <v>0</v>
      </c>
      <c r="G136" s="119">
        <f>('Pivot Table for Data Exchange'!$F$91)*100</f>
        <v>0</v>
      </c>
      <c r="H136" s="111">
        <f>('Pivot Table for Data Exchange'!$F$94)*100</f>
        <v>0</v>
      </c>
      <c r="I136" s="118" t="s">
        <v>655</v>
      </c>
      <c r="J136" s="111">
        <f>('Pivot Table for Data Exchange'!$F$97)*100</f>
        <v>0</v>
      </c>
      <c r="K136" s="111">
        <f>('Pivot Table for Data Exchange'!$F$100)*100</f>
        <v>0</v>
      </c>
      <c r="L136" s="112">
        <f>SUM(M136:O136)</f>
        <v>0</v>
      </c>
      <c r="M136" s="111">
        <f>('Pivot Table for Data Exchange'!$F$103)*100</f>
        <v>0</v>
      </c>
      <c r="N136" s="111">
        <f>('Pivot Table for Data Exchange'!$F$106)*100</f>
        <v>0</v>
      </c>
      <c r="O136" s="119">
        <f>('Pivot Table for Data Exchange'!$F$109)*100</f>
        <v>0</v>
      </c>
      <c r="P136" s="111">
        <f>('Pivot Table for Data Exchange'!$F$112)*100</f>
        <v>0</v>
      </c>
      <c r="Q136" s="160">
        <f t="shared" si="4"/>
        <v>0</v>
      </c>
      <c r="R136" s="160">
        <f t="shared" si="5"/>
        <v>0</v>
      </c>
      <c r="S136" s="161"/>
      <c r="T136" s="167"/>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row>
    <row r="137" spans="1:41" ht="15.75" customHeight="1">
      <c r="A137" s="118" t="s">
        <v>656</v>
      </c>
      <c r="B137" s="111">
        <f>('Pivot Table for Data Exchange'!$F$115)*100</f>
        <v>78.510395315876991</v>
      </c>
      <c r="C137" s="111">
        <f>('Pivot Table for Data Exchange'!$F$118)*100</f>
        <v>2.2219080956614574</v>
      </c>
      <c r="D137" s="112">
        <f>SUM(E137:G137)</f>
        <v>19.267696588461554</v>
      </c>
      <c r="E137" s="111">
        <f>('Pivot Table for Data Exchange'!$F$121)*100</f>
        <v>19.267696588461554</v>
      </c>
      <c r="F137" s="111">
        <f>('Pivot Table for Data Exchange'!$F$124)*100</f>
        <v>0</v>
      </c>
      <c r="G137" s="119">
        <f>('Pivot Table for Data Exchange'!$F$127)*100</f>
        <v>0</v>
      </c>
      <c r="H137" s="111">
        <f>('Pivot Table for Data Exchange'!$F$130)*100</f>
        <v>0</v>
      </c>
      <c r="I137" s="118" t="s">
        <v>695</v>
      </c>
      <c r="J137" s="111">
        <f>('Pivot Table for Data Exchange'!$F$133)*100</f>
        <v>52.134728798072928</v>
      </c>
      <c r="K137" s="111">
        <f>('Pivot Table for Data Exchange'!$F$136)*100</f>
        <v>5.7147603621563254</v>
      </c>
      <c r="L137" s="112">
        <f>SUM(M137:O137)</f>
        <v>42.150510839770746</v>
      </c>
      <c r="M137" s="111">
        <f>('Pivot Table for Data Exchange'!$F$139)*100</f>
        <v>42.150510839770746</v>
      </c>
      <c r="N137" s="111">
        <f>('Pivot Table for Data Exchange'!$F$142)*100</f>
        <v>0</v>
      </c>
      <c r="O137" s="119">
        <f>('Pivot Table for Data Exchange'!$F$145)*100</f>
        <v>0</v>
      </c>
      <c r="P137" s="111">
        <f>('Pivot Table for Data Exchange'!$F$148)*100</f>
        <v>0</v>
      </c>
      <c r="Q137" s="160">
        <f t="shared" si="4"/>
        <v>100</v>
      </c>
      <c r="R137" s="160">
        <f t="shared" si="5"/>
        <v>100</v>
      </c>
      <c r="S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row>
    <row r="138" spans="1:41" ht="15.75" customHeight="1">
      <c r="A138" s="118"/>
      <c r="B138" s="111"/>
      <c r="C138" s="111"/>
      <c r="D138" s="112"/>
      <c r="E138" s="111"/>
      <c r="F138" s="111"/>
      <c r="G138" s="119"/>
      <c r="H138" s="111"/>
      <c r="I138" s="118"/>
      <c r="J138" s="111"/>
      <c r="K138" s="111"/>
      <c r="L138" s="112"/>
      <c r="M138" s="111"/>
      <c r="N138" s="111"/>
      <c r="O138" s="119"/>
      <c r="P138" s="111"/>
      <c r="Q138" s="160">
        <f t="shared" si="4"/>
        <v>0</v>
      </c>
      <c r="R138" s="160">
        <f t="shared" si="5"/>
        <v>0</v>
      </c>
      <c r="S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row>
    <row r="139" spans="1:41" ht="15.75" customHeight="1">
      <c r="A139" s="118" t="s">
        <v>657</v>
      </c>
      <c r="B139" s="111">
        <f>('Pivot Table for Data Exchange'!$F$151)*100</f>
        <v>0</v>
      </c>
      <c r="C139" s="111">
        <f>('Pivot Table for Data Exchange'!$F$154)*100</f>
        <v>0</v>
      </c>
      <c r="D139" s="112">
        <f>SUM(E139:G139)</f>
        <v>0</v>
      </c>
      <c r="E139" s="111">
        <f>('Pivot Table for Data Exchange'!$F$157)*100</f>
        <v>0</v>
      </c>
      <c r="F139" s="120">
        <f>('Pivot Table for Data Exchange'!$F$160)*100</f>
        <v>0</v>
      </c>
      <c r="G139" s="121">
        <f>('Pivot Table for Data Exchange'!$F$163)*100</f>
        <v>0</v>
      </c>
      <c r="H139" s="111">
        <f>('Pivot Table for Data Exchange'!$F$166)*100</f>
        <v>0</v>
      </c>
      <c r="I139" s="118" t="s">
        <v>657</v>
      </c>
      <c r="J139" s="111">
        <f>('Pivot Table for Data Exchange'!$F$169)*100</f>
        <v>0</v>
      </c>
      <c r="K139" s="111">
        <f>('Pivot Table for Data Exchange'!$F$172)*100</f>
        <v>0</v>
      </c>
      <c r="L139" s="112">
        <f>SUM(M139:O139)</f>
        <v>0</v>
      </c>
      <c r="M139" s="111">
        <f>('Pivot Table for Data Exchange'!$F$175)*100</f>
        <v>0</v>
      </c>
      <c r="N139" s="111">
        <f>('Pivot Table for Data Exchange'!$F$178)*100</f>
        <v>0</v>
      </c>
      <c r="O139" s="119">
        <f>('Pivot Table for Data Exchange'!$F$181)*100</f>
        <v>0</v>
      </c>
      <c r="P139" s="111">
        <f>('Pivot Table for Data Exchange'!$F$184)*100</f>
        <v>0</v>
      </c>
      <c r="Q139" s="160">
        <f t="shared" ref="Q139:Q202" si="6">SUM(B139,C139,D139,H139)</f>
        <v>0</v>
      </c>
      <c r="R139" s="160">
        <f t="shared" ref="R139:R202" si="7">SUM(J139,K139,L139,P139)</f>
        <v>0</v>
      </c>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row>
    <row r="140" spans="1:41" ht="15.75" customHeight="1">
      <c r="A140" s="118" t="s">
        <v>658</v>
      </c>
      <c r="B140" s="111">
        <f>('Pivot Table for Data Exchange'!$F$187)*100</f>
        <v>86.429200685693061</v>
      </c>
      <c r="C140" s="111">
        <f>('Pivot Table for Data Exchange'!$F$190)*100</f>
        <v>3.4467872569516778</v>
      </c>
      <c r="D140" s="112">
        <f>SUM(E140:G140)</f>
        <v>10.124012057355264</v>
      </c>
      <c r="E140" s="111">
        <f>('Pivot Table for Data Exchange'!$F$193)*100</f>
        <v>10.121753185636589</v>
      </c>
      <c r="F140" s="111">
        <f>('Pivot Table for Data Exchange'!$F$196)*100</f>
        <v>0</v>
      </c>
      <c r="G140" s="119">
        <f>('Pivot Table for Data Exchange'!$F$199)*100</f>
        <v>2.2588717186750964E-3</v>
      </c>
      <c r="H140" s="111">
        <f>('Pivot Table for Data Exchange'!$F$202)*100</f>
        <v>0</v>
      </c>
      <c r="I140" s="118" t="s">
        <v>658</v>
      </c>
      <c r="J140" s="111">
        <f>('Pivot Table for Data Exchange'!$F$205)*100</f>
        <v>75.614978466629353</v>
      </c>
      <c r="K140" s="111">
        <f>('Pivot Table for Data Exchange'!$F$208)*100</f>
        <v>2.4964111048930633</v>
      </c>
      <c r="L140" s="112">
        <f>SUM(M140:O140)</f>
        <v>21.888610428477577</v>
      </c>
      <c r="M140" s="111">
        <f>('Pivot Table for Data Exchange'!$F$211)*100</f>
        <v>21.888610428477577</v>
      </c>
      <c r="N140" s="111">
        <f>('Pivot Table for Data Exchange'!$F$214)*100</f>
        <v>0</v>
      </c>
      <c r="O140" s="121">
        <f>('Pivot Table for Data Exchange'!$F$217)*100</f>
        <v>0</v>
      </c>
      <c r="P140" s="111">
        <f>('Pivot Table for Data Exchange'!$F$220)*100</f>
        <v>0</v>
      </c>
      <c r="Q140" s="160">
        <f t="shared" si="6"/>
        <v>100</v>
      </c>
      <c r="R140" s="160">
        <f t="shared" si="7"/>
        <v>99.999999999999986</v>
      </c>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row>
    <row r="141" spans="1:41" ht="15.75" customHeight="1">
      <c r="A141" s="118" t="s">
        <v>659</v>
      </c>
      <c r="B141" s="111">
        <f>('Pivot Table for Data Exchange'!$F$223)*100</f>
        <v>0</v>
      </c>
      <c r="C141" s="111">
        <f>('Pivot Table for Data Exchange'!$F$226)*100</f>
        <v>0</v>
      </c>
      <c r="D141" s="112">
        <f>SUM(E141:G141)</f>
        <v>0</v>
      </c>
      <c r="E141" s="111">
        <f>('Pivot Table for Data Exchange'!$F$229)*100</f>
        <v>0</v>
      </c>
      <c r="F141" s="111">
        <f>('Pivot Table for Data Exchange'!$F$232)*100</f>
        <v>0</v>
      </c>
      <c r="G141" s="119">
        <f>('Pivot Table for Data Exchange'!$F$235)*100</f>
        <v>0</v>
      </c>
      <c r="H141" s="111">
        <f>('Pivot Table for Data Exchange'!$F$238)*100</f>
        <v>0</v>
      </c>
      <c r="I141" s="118" t="s">
        <v>659</v>
      </c>
      <c r="J141" s="111">
        <f>('Pivot Table for Data Exchange'!$F$241)*100</f>
        <v>0</v>
      </c>
      <c r="K141" s="111">
        <f>('Pivot Table for Data Exchange'!$F$244)*100</f>
        <v>0</v>
      </c>
      <c r="L141" s="112">
        <f>SUM(M141:O141)</f>
        <v>0</v>
      </c>
      <c r="M141" s="111">
        <f>('Pivot Table for Data Exchange'!$F$247)*100</f>
        <v>0</v>
      </c>
      <c r="N141" s="111">
        <f>('Pivot Table for Data Exchange'!$F$250)*100</f>
        <v>0</v>
      </c>
      <c r="O141" s="119">
        <f>('Pivot Table for Data Exchange'!$F$253)*100</f>
        <v>0</v>
      </c>
      <c r="P141" s="111">
        <f>('Pivot Table for Data Exchange'!$F$256)*100</f>
        <v>0</v>
      </c>
      <c r="Q141" s="160">
        <f t="shared" si="6"/>
        <v>0</v>
      </c>
      <c r="R141" s="160">
        <f t="shared" si="7"/>
        <v>0</v>
      </c>
      <c r="S141" s="161"/>
      <c r="T141" s="167"/>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row>
    <row r="142" spans="1:41" ht="15.75" customHeight="1">
      <c r="A142" s="118" t="s">
        <v>700</v>
      </c>
      <c r="B142" s="111">
        <f>('Pivot Table for Data Exchange'!$F$259)*100</f>
        <v>91.057039129946133</v>
      </c>
      <c r="C142" s="111">
        <f>('Pivot Table for Data Exchange'!$F$262)*100</f>
        <v>1.0441796459459953</v>
      </c>
      <c r="D142" s="112">
        <f>SUM(E142:G142)</f>
        <v>7.8987812241078732</v>
      </c>
      <c r="E142" s="111">
        <f>('Pivot Table for Data Exchange'!$F$265)*100</f>
        <v>7.762214549512934</v>
      </c>
      <c r="F142" s="111">
        <f>('Pivot Table for Data Exchange'!$F$268)*100</f>
        <v>0.13656667459493932</v>
      </c>
      <c r="G142" s="119">
        <f>('Pivot Table for Data Exchange'!$F$271)*100</f>
        <v>0</v>
      </c>
      <c r="H142" s="111">
        <f>('Pivot Table for Data Exchange'!$F$274)*100</f>
        <v>0</v>
      </c>
      <c r="I142" s="118" t="s">
        <v>700</v>
      </c>
      <c r="J142" s="111">
        <f>('Pivot Table for Data Exchange'!$F$277)*100</f>
        <v>45.436928702010974</v>
      </c>
      <c r="K142" s="111">
        <f>('Pivot Table for Data Exchange'!$F$280)*100</f>
        <v>3.5189344476364584</v>
      </c>
      <c r="L142" s="112">
        <f>SUM(M142:O142)</f>
        <v>51.044136850352572</v>
      </c>
      <c r="M142" s="111">
        <f>('Pivot Table for Data Exchange'!$F$283)*100</f>
        <v>50.295116218333767</v>
      </c>
      <c r="N142" s="111">
        <f>('Pivot Table for Data Exchange'!$F$286)*100</f>
        <v>0.74902063201880387</v>
      </c>
      <c r="O142" s="119">
        <f>('Pivot Table for Data Exchange'!$F$289)*100</f>
        <v>0</v>
      </c>
      <c r="P142" s="111">
        <f>('Pivot Table for Data Exchange'!$F$292)*100</f>
        <v>0</v>
      </c>
      <c r="Q142" s="160">
        <f t="shared" si="6"/>
        <v>100.00000000000001</v>
      </c>
      <c r="R142" s="160">
        <f t="shared" si="7"/>
        <v>100</v>
      </c>
      <c r="S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row>
    <row r="143" spans="1:41" ht="15.75" customHeight="1">
      <c r="A143" s="118"/>
      <c r="B143" s="111"/>
      <c r="C143" s="111"/>
      <c r="D143" s="112"/>
      <c r="E143" s="111"/>
      <c r="F143" s="111"/>
      <c r="G143" s="119"/>
      <c r="H143" s="111"/>
      <c r="I143" s="118"/>
      <c r="J143" s="111"/>
      <c r="K143" s="111"/>
      <c r="L143" s="112"/>
      <c r="M143" s="111"/>
      <c r="N143" s="111"/>
      <c r="O143" s="119"/>
      <c r="P143" s="111"/>
      <c r="Q143" s="160">
        <f t="shared" si="6"/>
        <v>0</v>
      </c>
      <c r="R143" s="160">
        <f t="shared" si="7"/>
        <v>0</v>
      </c>
      <c r="S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row>
    <row r="144" spans="1:41" ht="15.75" customHeight="1">
      <c r="A144" s="118" t="s">
        <v>661</v>
      </c>
      <c r="B144" s="111">
        <f>('Pivot Table for Data Exchange'!$F$295)*100</f>
        <v>84.48220744983665</v>
      </c>
      <c r="C144" s="111">
        <f>('Pivot Table for Data Exchange'!$F$298)*100</f>
        <v>2.0586457868046981</v>
      </c>
      <c r="D144" s="112">
        <f>SUM(E144:G144)</f>
        <v>13.002837699361518</v>
      </c>
      <c r="E144" s="111">
        <f>('Pivot Table for Data Exchange'!$F$301)*100</f>
        <v>12.75585275493313</v>
      </c>
      <c r="F144" s="120">
        <f>('Pivot Table for Data Exchange'!$F$304)*100</f>
        <v>0</v>
      </c>
      <c r="G144" s="119">
        <f>('Pivot Table for Data Exchange'!$F$307)*100</f>
        <v>0.2469849444283875</v>
      </c>
      <c r="H144" s="111">
        <f>('Pivot Table for Data Exchange'!$F$310)*100</f>
        <v>0.45630906399712728</v>
      </c>
      <c r="I144" s="118" t="s">
        <v>661</v>
      </c>
      <c r="J144" s="111">
        <f>('Pivot Table for Data Exchange'!$F$313)*100</f>
        <v>58.710519446619678</v>
      </c>
      <c r="K144" s="111">
        <f>('Pivot Table for Data Exchange'!$F$316)*100</f>
        <v>1.8245888801879404</v>
      </c>
      <c r="L144" s="112">
        <f>SUM(M144:O144)</f>
        <v>39.464891673192376</v>
      </c>
      <c r="M144" s="111">
        <f>('Pivot Table for Data Exchange'!$F$319)*100</f>
        <v>38.901070216653615</v>
      </c>
      <c r="N144" s="111">
        <f>('Pivot Table for Data Exchange'!$F$322)*100</f>
        <v>0</v>
      </c>
      <c r="O144" s="119">
        <f>('Pivot Table for Data Exchange'!$F$325)*100</f>
        <v>0.5638214565387627</v>
      </c>
      <c r="P144" s="111">
        <f>('Pivot Table for Data Exchange'!$F$328)*100</f>
        <v>0</v>
      </c>
      <c r="Q144" s="160">
        <f t="shared" si="6"/>
        <v>100</v>
      </c>
      <c r="R144" s="160">
        <f t="shared" si="7"/>
        <v>100</v>
      </c>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row>
    <row r="145" spans="1:41" ht="15.75" customHeight="1">
      <c r="A145" s="118" t="s">
        <v>662</v>
      </c>
      <c r="B145" s="111">
        <f>('Pivot Table for Data Exchange'!$F$331)*100</f>
        <v>82.474504415552133</v>
      </c>
      <c r="C145" s="111">
        <f>('Pivot Table for Data Exchange'!$F$334)*100</f>
        <v>2.2854538800930753</v>
      </c>
      <c r="D145" s="112">
        <f>SUM(E145:G145)</f>
        <v>15.240041704354793</v>
      </c>
      <c r="E145" s="111">
        <f>('Pivot Table for Data Exchange'!$F$337)*100</f>
        <v>15.136471286827916</v>
      </c>
      <c r="F145" s="111">
        <f>('Pivot Table for Data Exchange'!$F$340)*100</f>
        <v>0.10357041752687651</v>
      </c>
      <c r="G145" s="119">
        <f>('Pivot Table for Data Exchange'!$F$343)*100</f>
        <v>0</v>
      </c>
      <c r="H145" s="111">
        <f>('Pivot Table for Data Exchange'!$F$346)*100</f>
        <v>0</v>
      </c>
      <c r="I145" s="118" t="s">
        <v>662</v>
      </c>
      <c r="J145" s="111">
        <f>('Pivot Table for Data Exchange'!$F$349)*100</f>
        <v>57.987540914370186</v>
      </c>
      <c r="K145" s="111">
        <f>('Pivot Table for Data Exchange'!$F$352)*100</f>
        <v>17.748917748917751</v>
      </c>
      <c r="L145" s="112">
        <f>SUM(M145:O145)</f>
        <v>24.26354133671207</v>
      </c>
      <c r="M145" s="111">
        <f>('Pivot Table for Data Exchange'!$F$355)*100</f>
        <v>24.26354133671207</v>
      </c>
      <c r="N145" s="111">
        <f>('Pivot Table for Data Exchange'!$F$358)*100</f>
        <v>0</v>
      </c>
      <c r="O145" s="119">
        <f>('Pivot Table for Data Exchange'!$F$361)*100</f>
        <v>0</v>
      </c>
      <c r="P145" s="111">
        <f>('Pivot Table for Data Exchange'!$F$364)*100</f>
        <v>0</v>
      </c>
      <c r="Q145" s="160">
        <f t="shared" si="6"/>
        <v>100</v>
      </c>
      <c r="R145" s="160">
        <f t="shared" si="7"/>
        <v>100</v>
      </c>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row>
    <row r="146" spans="1:41" ht="15.75" customHeight="1">
      <c r="A146" s="118" t="s">
        <v>663</v>
      </c>
      <c r="B146" s="111">
        <f>('Pivot Table for Data Exchange'!$F$367)*100</f>
        <v>0</v>
      </c>
      <c r="C146" s="111">
        <f>('Pivot Table for Data Exchange'!$F$370)*100</f>
        <v>0</v>
      </c>
      <c r="D146" s="112">
        <f>SUM(E146:G146)</f>
        <v>0</v>
      </c>
      <c r="E146" s="111">
        <f>('Pivot Table for Data Exchange'!$F$373)*100</f>
        <v>0</v>
      </c>
      <c r="F146" s="111">
        <f>('Pivot Table for Data Exchange'!$F$376)*100</f>
        <v>0</v>
      </c>
      <c r="G146" s="119">
        <f>('Pivot Table for Data Exchange'!$F$379)*100</f>
        <v>0</v>
      </c>
      <c r="H146" s="111">
        <f>('Pivot Table for Data Exchange'!$F$382)*100</f>
        <v>0</v>
      </c>
      <c r="I146" s="118" t="s">
        <v>663</v>
      </c>
      <c r="J146" s="111">
        <f>('Pivot Table for Data Exchange'!$F$385)*100</f>
        <v>0</v>
      </c>
      <c r="K146" s="111">
        <f>('Pivot Table for Data Exchange'!$F$388)*100</f>
        <v>0</v>
      </c>
      <c r="L146" s="112">
        <f>SUM(M146:O146)</f>
        <v>0</v>
      </c>
      <c r="M146" s="111">
        <f>('Pivot Table for Data Exchange'!$F$391)*100</f>
        <v>0</v>
      </c>
      <c r="N146" s="111">
        <f>('Pivot Table for Data Exchange'!$F$394)*100</f>
        <v>0</v>
      </c>
      <c r="O146" s="119">
        <f>('Pivot Table for Data Exchange'!$F$397)*100</f>
        <v>0</v>
      </c>
      <c r="P146" s="111">
        <f>('Pivot Table for Data Exchange'!$F$400)*100</f>
        <v>0</v>
      </c>
      <c r="Q146" s="160">
        <f t="shared" si="6"/>
        <v>0</v>
      </c>
      <c r="R146" s="160">
        <f t="shared" si="7"/>
        <v>0</v>
      </c>
      <c r="S146" s="161"/>
      <c r="T146" s="167"/>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row>
    <row r="147" spans="1:41" ht="15.75" customHeight="1">
      <c r="A147" s="118" t="s">
        <v>664</v>
      </c>
      <c r="B147" s="111">
        <f>('Pivot Table for Data Exchange'!$F$403)*100</f>
        <v>99.469001816572728</v>
      </c>
      <c r="C147" s="111">
        <f>('Pivot Table for Data Exchange'!$F$406)*100</f>
        <v>0.27597931901811917</v>
      </c>
      <c r="D147" s="112">
        <f>SUM(E147:G147)</f>
        <v>0.25501886440914806</v>
      </c>
      <c r="E147" s="111">
        <f>('Pivot Table for Data Exchange'!$F$409)*100</f>
        <v>0.25501886440914806</v>
      </c>
      <c r="F147" s="111">
        <f>('Pivot Table for Data Exchange'!$F$412)*100</f>
        <v>0</v>
      </c>
      <c r="G147" s="119">
        <f>('Pivot Table for Data Exchange'!$F$415)*100</f>
        <v>0</v>
      </c>
      <c r="H147" s="111">
        <f>('Pivot Table for Data Exchange'!$F$418)*100</f>
        <v>0</v>
      </c>
      <c r="I147" s="118" t="s">
        <v>664</v>
      </c>
      <c r="J147" s="111">
        <f>('Pivot Table for Data Exchange'!$F$421)*100</f>
        <v>94.736163075732165</v>
      </c>
      <c r="K147" s="111">
        <f>('Pivot Table for Data Exchange'!$F$424)*100</f>
        <v>3.7350019352341635</v>
      </c>
      <c r="L147" s="112">
        <f>SUM(M147:O147)</f>
        <v>1.5288349890336732</v>
      </c>
      <c r="M147" s="111">
        <f>('Pivot Table for Data Exchange'!$F$427)*100</f>
        <v>1.5288349890336732</v>
      </c>
      <c r="N147" s="111">
        <f>('Pivot Table for Data Exchange'!$F$430)*100</f>
        <v>0</v>
      </c>
      <c r="O147" s="119">
        <f>('Pivot Table for Data Exchange'!$F$433)*100</f>
        <v>0</v>
      </c>
      <c r="P147" s="111">
        <f>('Pivot Table for Data Exchange'!$F$436)*100</f>
        <v>0</v>
      </c>
      <c r="Q147" s="160">
        <f t="shared" si="6"/>
        <v>100</v>
      </c>
      <c r="R147" s="160">
        <f t="shared" si="7"/>
        <v>100</v>
      </c>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row>
    <row r="148" spans="1:41" ht="15.75" customHeight="1">
      <c r="A148" s="118"/>
      <c r="B148" s="111"/>
      <c r="C148" s="111"/>
      <c r="D148" s="112"/>
      <c r="E148" s="111"/>
      <c r="F148" s="111"/>
      <c r="G148" s="119"/>
      <c r="H148" s="111"/>
      <c r="I148" s="118"/>
      <c r="J148" s="111"/>
      <c r="K148" s="111"/>
      <c r="L148" s="112"/>
      <c r="M148" s="111"/>
      <c r="N148" s="111"/>
      <c r="O148" s="119"/>
      <c r="P148" s="111"/>
      <c r="Q148" s="160">
        <f t="shared" si="6"/>
        <v>0</v>
      </c>
      <c r="R148" s="160">
        <f t="shared" si="7"/>
        <v>0</v>
      </c>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row>
    <row r="149" spans="1:41" ht="15.75" customHeight="1">
      <c r="A149" s="118" t="s">
        <v>665</v>
      </c>
      <c r="B149" s="111">
        <f>('Pivot Table for Data Exchange'!$F$439)*100</f>
        <v>0</v>
      </c>
      <c r="C149" s="111">
        <f>('Pivot Table for Data Exchange'!$F$442)*100</f>
        <v>0</v>
      </c>
      <c r="D149" s="112">
        <f>SUM(E149:G149)</f>
        <v>0</v>
      </c>
      <c r="E149" s="111">
        <f>('Pivot Table for Data Exchange'!$F$445)*100</f>
        <v>0</v>
      </c>
      <c r="F149" s="120">
        <f>('Pivot Table for Data Exchange'!$F$448)*100</f>
        <v>0</v>
      </c>
      <c r="G149" s="119">
        <f>('Pivot Table for Data Exchange'!$F$451)*100</f>
        <v>0</v>
      </c>
      <c r="H149" s="111">
        <f>('Pivot Table for Data Exchange'!$F$454)*100</f>
        <v>0</v>
      </c>
      <c r="I149" s="118" t="s">
        <v>665</v>
      </c>
      <c r="J149" s="111">
        <f>('Pivot Table for Data Exchange'!$F$457)*100</f>
        <v>0</v>
      </c>
      <c r="K149" s="111">
        <f>('Pivot Table for Data Exchange'!$F$460)*100</f>
        <v>0</v>
      </c>
      <c r="L149" s="112">
        <f>SUM(M149:O149)</f>
        <v>0</v>
      </c>
      <c r="M149" s="111">
        <f>('Pivot Table for Data Exchange'!$F$463)*100</f>
        <v>0</v>
      </c>
      <c r="N149" s="111">
        <f>('Pivot Table for Data Exchange'!$F$466)*100</f>
        <v>0</v>
      </c>
      <c r="O149" s="119">
        <f>('Pivot Table for Data Exchange'!$F$469)*100</f>
        <v>0</v>
      </c>
      <c r="P149" s="111">
        <f>('Pivot Table for Data Exchange'!$F$472)*100</f>
        <v>0</v>
      </c>
      <c r="Q149" s="160">
        <f t="shared" si="6"/>
        <v>0</v>
      </c>
      <c r="R149" s="160">
        <f t="shared" si="7"/>
        <v>0</v>
      </c>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row>
    <row r="150" spans="1:41" ht="15.75" customHeight="1">
      <c r="A150" s="118" t="s">
        <v>666</v>
      </c>
      <c r="B150" s="111">
        <f>('Pivot Table for Data Exchange'!$F$475)*100</f>
        <v>54.573574607884701</v>
      </c>
      <c r="C150" s="111">
        <f>('Pivot Table for Data Exchange'!$F$478)*100</f>
        <v>8.323839550657059</v>
      </c>
      <c r="D150" s="112">
        <f>SUM(E150:G150)</f>
        <v>37.102585841458243</v>
      </c>
      <c r="E150" s="111">
        <f>('Pivot Table for Data Exchange'!$F$481)*100</f>
        <v>33.947117422636708</v>
      </c>
      <c r="F150" s="111">
        <f>('Pivot Table for Data Exchange'!$F$484)*100</f>
        <v>1.3227267910131413</v>
      </c>
      <c r="G150" s="119">
        <f>('Pivot Table for Data Exchange'!$F$487)*100</f>
        <v>1.8327416278083934</v>
      </c>
      <c r="H150" s="111">
        <f>('Pivot Table for Data Exchange'!$F$490)*100</f>
        <v>0</v>
      </c>
      <c r="I150" s="118" t="s">
        <v>666</v>
      </c>
      <c r="J150" s="111">
        <f>('Pivot Table for Data Exchange'!$F$493)*100</f>
        <v>25.102266916652461</v>
      </c>
      <c r="K150" s="111">
        <f>('Pivot Table for Data Exchange'!$F$496)*100</f>
        <v>15.928072268621102</v>
      </c>
      <c r="L150" s="112">
        <f>SUM(M150:O150)</f>
        <v>58.969660814726431</v>
      </c>
      <c r="M150" s="111">
        <f>('Pivot Table for Data Exchange'!$F$499)*100</f>
        <v>55.888869950570985</v>
      </c>
      <c r="N150" s="111">
        <f>('Pivot Table for Data Exchange'!$F$502)*100</f>
        <v>1.6810124424748594</v>
      </c>
      <c r="O150" s="119">
        <f>('Pivot Table for Data Exchange'!$F$505)*100</f>
        <v>1.3997784216805864</v>
      </c>
      <c r="P150" s="111">
        <f>('Pivot Table for Data Exchange'!$F$508)*100</f>
        <v>0</v>
      </c>
      <c r="Q150" s="160">
        <f t="shared" si="6"/>
        <v>100</v>
      </c>
      <c r="R150" s="160">
        <f t="shared" si="7"/>
        <v>100</v>
      </c>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row>
    <row r="151" spans="1:41" ht="15.75" customHeight="1">
      <c r="A151" s="118" t="s">
        <v>667</v>
      </c>
      <c r="B151" s="111">
        <f>('Pivot Table for Data Exchange'!$F$511)*100</f>
        <v>96.105104806279599</v>
      </c>
      <c r="C151" s="111">
        <f>('Pivot Table for Data Exchange'!$F$514)*100</f>
        <v>1.8803278720510734</v>
      </c>
      <c r="D151" s="112">
        <f>SUM(E151:G151)</f>
        <v>2.0145673216693298</v>
      </c>
      <c r="E151" s="111">
        <f>('Pivot Table for Data Exchange'!$F$517)*100</f>
        <v>1.8752548695945694</v>
      </c>
      <c r="F151" s="111">
        <f>('Pivot Table for Data Exchange'!$F$520)*100</f>
        <v>0.13931245207476045</v>
      </c>
      <c r="G151" s="119">
        <f>('Pivot Table for Data Exchange'!$F$523)*100</f>
        <v>0</v>
      </c>
      <c r="H151" s="111">
        <f>('Pivot Table for Data Exchange'!$F$526)*100</f>
        <v>0</v>
      </c>
      <c r="I151" s="118" t="s">
        <v>667</v>
      </c>
      <c r="J151" s="111">
        <f>('Pivot Table for Data Exchange'!$F$529)*100</f>
        <v>72.484218343854437</v>
      </c>
      <c r="K151" s="111">
        <f>('Pivot Table for Data Exchange'!$F$532)*100</f>
        <v>21.155376372606227</v>
      </c>
      <c r="L151" s="112">
        <f>SUM(M151:O151)</f>
        <v>6.3604052835393352</v>
      </c>
      <c r="M151" s="111">
        <f>('Pivot Table for Data Exchange'!$F$535)*100</f>
        <v>3.917564054957297</v>
      </c>
      <c r="N151" s="111">
        <f>('Pivot Table for Data Exchange'!$F$538)*100</f>
        <v>2.4428412285820382</v>
      </c>
      <c r="O151" s="119">
        <f>('Pivot Table for Data Exchange'!$F$541)*100</f>
        <v>0</v>
      </c>
      <c r="P151" s="111">
        <f>('Pivot Table for Data Exchange'!$F$544)*100</f>
        <v>0</v>
      </c>
      <c r="Q151" s="160">
        <f t="shared" si="6"/>
        <v>100</v>
      </c>
      <c r="R151" s="160">
        <f t="shared" si="7"/>
        <v>100</v>
      </c>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row>
    <row r="152" spans="1:41" ht="15.75" customHeight="1">
      <c r="A152" s="91" t="s">
        <v>668</v>
      </c>
      <c r="B152" s="122">
        <f>('Pivot Table for Data Exchange'!$F$547)*100</f>
        <v>0</v>
      </c>
      <c r="C152" s="122">
        <f>('Pivot Table for Data Exchange'!$F$550)*100</f>
        <v>0</v>
      </c>
      <c r="D152" s="123">
        <f>SUM(E152:G152)</f>
        <v>0</v>
      </c>
      <c r="E152" s="122">
        <f>('Pivot Table for Data Exchange'!$F$553)*100</f>
        <v>0</v>
      </c>
      <c r="F152" s="122">
        <f>('Pivot Table for Data Exchange'!$F$556)*100</f>
        <v>0</v>
      </c>
      <c r="G152" s="124">
        <f>('Pivot Table for Data Exchange'!$F$559)*100</f>
        <v>0</v>
      </c>
      <c r="H152" s="122">
        <f>('Pivot Table for Data Exchange'!$F$562)*100</f>
        <v>0</v>
      </c>
      <c r="I152" s="91" t="s">
        <v>668</v>
      </c>
      <c r="J152" s="122">
        <f>('Pivot Table for Data Exchange'!$F$565)*100</f>
        <v>0</v>
      </c>
      <c r="K152" s="122">
        <f>('Pivot Table for Data Exchange'!$F$568)*100</f>
        <v>0</v>
      </c>
      <c r="L152" s="123">
        <f>SUM(M152:O152)</f>
        <v>0</v>
      </c>
      <c r="M152" s="122">
        <f>('Pivot Table for Data Exchange'!$F$571)*100</f>
        <v>0</v>
      </c>
      <c r="N152" s="122">
        <f>('Pivot Table for Data Exchange'!$F$574)*100</f>
        <v>0</v>
      </c>
      <c r="O152" s="124">
        <f>('Pivot Table for Data Exchange'!$F$577)*100</f>
        <v>0</v>
      </c>
      <c r="P152" s="122">
        <f>('Pivot Table for Data Exchange'!$F$580)*100</f>
        <v>0</v>
      </c>
      <c r="Q152" s="160">
        <f t="shared" si="6"/>
        <v>0</v>
      </c>
      <c r="R152" s="160">
        <f t="shared" si="7"/>
        <v>0</v>
      </c>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row>
    <row r="153" spans="1:41" s="166" customFormat="1" ht="18" customHeight="1">
      <c r="A153" s="58" t="s">
        <v>697</v>
      </c>
      <c r="B153" s="126"/>
      <c r="C153" s="126"/>
      <c r="D153" s="127"/>
      <c r="E153" s="126"/>
      <c r="F153" s="127"/>
      <c r="G153" s="127"/>
      <c r="H153" s="126"/>
      <c r="I153" s="58" t="s">
        <v>697</v>
      </c>
      <c r="J153" s="126"/>
      <c r="K153" s="126"/>
      <c r="L153" s="127"/>
      <c r="M153" s="126"/>
      <c r="N153" s="127"/>
      <c r="O153" s="127"/>
      <c r="P153" s="126"/>
      <c r="Q153" s="160">
        <f t="shared" si="6"/>
        <v>0</v>
      </c>
      <c r="R153" s="160">
        <f t="shared" si="7"/>
        <v>0</v>
      </c>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row>
    <row r="154" spans="1:41" s="166" customFormat="1" ht="24" customHeight="1">
      <c r="A154" s="649" t="s">
        <v>698</v>
      </c>
      <c r="B154" s="650"/>
      <c r="C154" s="650"/>
      <c r="D154" s="650"/>
      <c r="E154" s="650"/>
      <c r="F154" s="650"/>
      <c r="G154" s="650"/>
      <c r="H154" s="650"/>
      <c r="I154" s="649" t="s">
        <v>698</v>
      </c>
      <c r="J154" s="650"/>
      <c r="K154" s="650"/>
      <c r="L154" s="650"/>
      <c r="M154" s="650"/>
      <c r="N154" s="650"/>
      <c r="O154" s="650"/>
      <c r="P154" s="650"/>
      <c r="Q154" s="160">
        <f t="shared" si="6"/>
        <v>0</v>
      </c>
      <c r="R154" s="160">
        <f t="shared" si="7"/>
        <v>0</v>
      </c>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row>
    <row r="155" spans="1:41" s="166" customFormat="1" ht="13.5" customHeight="1">
      <c r="A155" s="58"/>
      <c r="B155" s="135"/>
      <c r="C155" s="60"/>
      <c r="D155" s="60"/>
      <c r="E155" s="60"/>
      <c r="F155" s="60"/>
      <c r="G155" s="60"/>
      <c r="H155" s="64" t="s">
        <v>1034</v>
      </c>
      <c r="I155" s="58"/>
      <c r="J155" s="60"/>
      <c r="K155" s="60"/>
      <c r="L155" s="60"/>
      <c r="M155" s="60"/>
      <c r="N155" s="60"/>
      <c r="O155" s="60"/>
      <c r="P155" s="64" t="s">
        <v>1034</v>
      </c>
      <c r="Q155" s="160">
        <f t="shared" si="6"/>
        <v>0</v>
      </c>
      <c r="R155" s="160">
        <f t="shared" si="7"/>
        <v>0</v>
      </c>
    </row>
    <row r="156" spans="1:41" ht="18">
      <c r="A156" s="31" t="s">
        <v>1016</v>
      </c>
      <c r="B156" s="86"/>
      <c r="C156" s="86"/>
      <c r="D156" s="86"/>
      <c r="E156" s="86"/>
      <c r="F156" s="86"/>
      <c r="G156" s="86"/>
      <c r="H156" s="87"/>
      <c r="I156" s="31" t="s">
        <v>1031</v>
      </c>
      <c r="J156" s="38"/>
      <c r="K156" s="38"/>
      <c r="L156" s="86"/>
      <c r="M156" s="38"/>
      <c r="N156" s="38"/>
      <c r="O156" s="38"/>
      <c r="P156" s="38"/>
      <c r="Q156" s="160">
        <f t="shared" si="6"/>
        <v>0</v>
      </c>
      <c r="R156" s="160">
        <f t="shared" si="7"/>
        <v>0</v>
      </c>
    </row>
    <row r="157" spans="1:41">
      <c r="A157" s="37"/>
      <c r="B157" s="38"/>
      <c r="C157" s="38"/>
      <c r="D157" s="38"/>
      <c r="E157" s="38"/>
      <c r="F157" s="38"/>
      <c r="G157" s="38"/>
      <c r="H157" s="88"/>
      <c r="I157" s="37"/>
      <c r="J157" s="38"/>
      <c r="K157" s="38"/>
      <c r="L157" s="38"/>
      <c r="M157" s="38"/>
      <c r="N157" s="38"/>
      <c r="O157" s="38"/>
      <c r="P157" s="38"/>
      <c r="Q157" s="160">
        <f t="shared" si="6"/>
        <v>0</v>
      </c>
      <c r="R157" s="160">
        <f t="shared" si="7"/>
        <v>0</v>
      </c>
    </row>
    <row r="158" spans="1:41" ht="15.75">
      <c r="A158" s="89" t="s">
        <v>683</v>
      </c>
      <c r="B158" s="38"/>
      <c r="C158" s="38"/>
      <c r="D158" s="38"/>
      <c r="E158" s="38"/>
      <c r="F158" s="38"/>
      <c r="G158" s="38"/>
      <c r="H158" s="88"/>
      <c r="I158" s="89" t="s">
        <v>684</v>
      </c>
      <c r="J158" s="38"/>
      <c r="K158" s="38"/>
      <c r="L158" s="38"/>
      <c r="M158" s="38"/>
      <c r="N158" s="38"/>
      <c r="O158" s="38"/>
      <c r="P158" s="38"/>
      <c r="Q158" s="160">
        <f t="shared" si="6"/>
        <v>0</v>
      </c>
      <c r="R158" s="160">
        <f t="shared" si="7"/>
        <v>0</v>
      </c>
    </row>
    <row r="159" spans="1:41" ht="15.75">
      <c r="A159" s="89" t="s">
        <v>983</v>
      </c>
      <c r="B159" s="38"/>
      <c r="C159" s="38"/>
      <c r="D159" s="38"/>
      <c r="E159" s="38"/>
      <c r="F159" s="38"/>
      <c r="G159" s="38"/>
      <c r="H159" s="88"/>
      <c r="I159" s="89" t="s">
        <v>983</v>
      </c>
      <c r="J159" s="38"/>
      <c r="K159" s="38"/>
      <c r="L159" s="38"/>
      <c r="M159" s="38"/>
      <c r="N159" s="38"/>
      <c r="O159" s="38"/>
      <c r="P159" s="38"/>
      <c r="Q159" s="160">
        <f t="shared" si="6"/>
        <v>0</v>
      </c>
      <c r="R159" s="160">
        <f t="shared" si="7"/>
        <v>0</v>
      </c>
    </row>
    <row r="160" spans="1:41">
      <c r="A160" s="91"/>
      <c r="B160" s="92"/>
      <c r="C160" s="92"/>
      <c r="D160" s="92"/>
      <c r="E160" s="92"/>
      <c r="F160" s="92"/>
      <c r="G160" s="92"/>
      <c r="H160" s="92"/>
      <c r="I160" s="93"/>
      <c r="L160" s="94"/>
      <c r="P160" s="91"/>
      <c r="Q160" s="160">
        <f t="shared" si="6"/>
        <v>0</v>
      </c>
      <c r="R160" s="160">
        <f t="shared" si="7"/>
        <v>0</v>
      </c>
    </row>
    <row r="161" spans="1:41" s="109" customFormat="1">
      <c r="A161" s="95"/>
      <c r="B161" s="96" t="s">
        <v>685</v>
      </c>
      <c r="C161" s="96"/>
      <c r="D161" s="96"/>
      <c r="E161" s="96"/>
      <c r="F161" s="96"/>
      <c r="G161" s="96"/>
      <c r="H161" s="97"/>
      <c r="I161" s="95"/>
      <c r="J161" s="96" t="s">
        <v>685</v>
      </c>
      <c r="K161" s="96"/>
      <c r="L161" s="96"/>
      <c r="M161" s="96"/>
      <c r="N161" s="96"/>
      <c r="O161" s="96"/>
      <c r="P161" s="97"/>
      <c r="Q161" s="160">
        <f t="shared" si="6"/>
        <v>0</v>
      </c>
      <c r="R161" s="160">
        <f t="shared" si="7"/>
        <v>0</v>
      </c>
    </row>
    <row r="162" spans="1:41" s="109" customFormat="1">
      <c r="A162" s="95"/>
      <c r="B162" s="96" t="s">
        <v>686</v>
      </c>
      <c r="C162" s="96"/>
      <c r="D162" s="647" t="s">
        <v>687</v>
      </c>
      <c r="E162" s="648"/>
      <c r="F162" s="648"/>
      <c r="G162" s="648"/>
      <c r="H162" s="101" t="s">
        <v>59</v>
      </c>
      <c r="I162" s="95"/>
      <c r="J162" s="96" t="s">
        <v>686</v>
      </c>
      <c r="K162" s="96"/>
      <c r="L162" s="647" t="s">
        <v>687</v>
      </c>
      <c r="M162" s="648"/>
      <c r="N162" s="648"/>
      <c r="O162" s="648"/>
      <c r="P162" s="101" t="s">
        <v>59</v>
      </c>
      <c r="Q162" s="160">
        <f t="shared" si="6"/>
        <v>0</v>
      </c>
      <c r="R162" s="160">
        <f t="shared" si="7"/>
        <v>0</v>
      </c>
    </row>
    <row r="163" spans="1:41" s="109" customFormat="1" ht="40.5" customHeight="1">
      <c r="A163" s="95"/>
      <c r="B163" s="102" t="s">
        <v>688</v>
      </c>
      <c r="C163" s="103" t="s">
        <v>689</v>
      </c>
      <c r="D163" s="104" t="s">
        <v>690</v>
      </c>
      <c r="E163" s="105" t="s">
        <v>9</v>
      </c>
      <c r="F163" s="102" t="s">
        <v>691</v>
      </c>
      <c r="G163" s="106" t="s">
        <v>692</v>
      </c>
      <c r="H163" s="107" t="s">
        <v>693</v>
      </c>
      <c r="I163" s="95"/>
      <c r="J163" s="102" t="s">
        <v>688</v>
      </c>
      <c r="K163" s="103" t="s">
        <v>689</v>
      </c>
      <c r="L163" s="104" t="s">
        <v>690</v>
      </c>
      <c r="M163" s="105" t="s">
        <v>9</v>
      </c>
      <c r="N163" s="102" t="s">
        <v>691</v>
      </c>
      <c r="O163" s="106" t="s">
        <v>692</v>
      </c>
      <c r="P163" s="107" t="s">
        <v>693</v>
      </c>
      <c r="Q163" s="160">
        <f t="shared" si="6"/>
        <v>0</v>
      </c>
      <c r="R163" s="160">
        <f t="shared" si="7"/>
        <v>0</v>
      </c>
      <c r="T163" s="108"/>
    </row>
    <row r="164" spans="1:41" ht="15.75" customHeight="1">
      <c r="A164" s="115" t="s">
        <v>653</v>
      </c>
      <c r="B164" s="111">
        <f>('Pivot Table for Data Exchange'!$G$7)*100</f>
        <v>95.848264232322094</v>
      </c>
      <c r="C164" s="120">
        <f>('Pivot Table for Data Exchange'!$G$10)*100</f>
        <v>1.0758354547370812</v>
      </c>
      <c r="D164" s="112">
        <f>SUM(E164:G164)</f>
        <v>3.0759003129408331</v>
      </c>
      <c r="E164" s="111">
        <f>('Pivot Table for Data Exchange'!$G$13)*100</f>
        <v>3.0759003129408331</v>
      </c>
      <c r="F164" s="111">
        <f>('Pivot Table for Data Exchange'!$G$16)*100</f>
        <v>0</v>
      </c>
      <c r="G164" s="113">
        <f>('Pivot Table for Data Exchange'!$G$19)*100</f>
        <v>0</v>
      </c>
      <c r="H164" s="111">
        <f>('Pivot Table for Data Exchange'!$G$22)*100</f>
        <v>0</v>
      </c>
      <c r="I164" s="115" t="s">
        <v>653</v>
      </c>
      <c r="J164" s="111">
        <f>('Pivot Table for Data Exchange'!$G$25)*100</f>
        <v>24.743069349684774</v>
      </c>
      <c r="K164" s="111">
        <f>('Pivot Table for Data Exchange'!$G$28)*100</f>
        <v>1.1192676396925469</v>
      </c>
      <c r="L164" s="112">
        <f>SUM(M164:O164)</f>
        <v>74.137663010622674</v>
      </c>
      <c r="M164" s="111">
        <f>('Pivot Table for Data Exchange'!$G$31)*100</f>
        <v>74.137663010622674</v>
      </c>
      <c r="N164" s="111">
        <f>('Pivot Table for Data Exchange'!$G$34)*100</f>
        <v>0</v>
      </c>
      <c r="O164" s="113">
        <f>('Pivot Table for Data Exchange'!$G$37)*100</f>
        <v>0</v>
      </c>
      <c r="P164" s="111">
        <f>('Pivot Table for Data Exchange'!$G$40)*100</f>
        <v>0</v>
      </c>
      <c r="Q164" s="160">
        <f>SUM(B164,C164,D164,H164)</f>
        <v>100</v>
      </c>
      <c r="R164" s="160">
        <f t="shared" si="7"/>
        <v>100</v>
      </c>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row>
    <row r="165" spans="1:41" ht="15.75" customHeight="1">
      <c r="A165" s="118" t="s">
        <v>654</v>
      </c>
      <c r="B165" s="111">
        <f>('Pivot Table for Data Exchange'!$G$43)*100</f>
        <v>86.360328584634146</v>
      </c>
      <c r="C165" s="111">
        <f>('Pivot Table for Data Exchange'!$G$46)*100</f>
        <v>2.1785449705965267</v>
      </c>
      <c r="D165" s="112">
        <f>SUM(E165:G165)</f>
        <v>11.461126444769327</v>
      </c>
      <c r="E165" s="111">
        <f>('Pivot Table for Data Exchange'!$G$49)*100</f>
        <v>9.7460877318350772</v>
      </c>
      <c r="F165" s="111">
        <f>('Pivot Table for Data Exchange'!$G$52)*100</f>
        <v>0.72771138048815665</v>
      </c>
      <c r="G165" s="119">
        <f>('Pivot Table for Data Exchange'!$G$55)*100</f>
        <v>0.98732733244609361</v>
      </c>
      <c r="H165" s="111">
        <f>('Pivot Table for Data Exchange'!$G$58)*100</f>
        <v>0</v>
      </c>
      <c r="I165" s="118" t="s">
        <v>654</v>
      </c>
      <c r="J165" s="111">
        <f>('Pivot Table for Data Exchange'!$G$61)*100</f>
        <v>37.726973374729511</v>
      </c>
      <c r="K165" s="111">
        <f>('Pivot Table for Data Exchange'!$G$64)*100</f>
        <v>2.2485652460250258</v>
      </c>
      <c r="L165" s="112">
        <f>SUM(M165:O165)</f>
        <v>60.024461379245466</v>
      </c>
      <c r="M165" s="111">
        <f>('Pivot Table for Data Exchange'!$G$67)*100</f>
        <v>60.024461379245466</v>
      </c>
      <c r="N165" s="111">
        <f>('Pivot Table for Data Exchange'!$G$70)*100</f>
        <v>0</v>
      </c>
      <c r="O165" s="119">
        <f>('Pivot Table for Data Exchange'!$G$73)*100</f>
        <v>0</v>
      </c>
      <c r="P165" s="111">
        <f>('Pivot Table for Data Exchange'!$G$76)*100</f>
        <v>0</v>
      </c>
      <c r="Q165" s="160">
        <f t="shared" si="6"/>
        <v>100</v>
      </c>
      <c r="R165" s="160">
        <f t="shared" si="7"/>
        <v>100</v>
      </c>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row>
    <row r="166" spans="1:41" ht="15.75" customHeight="1">
      <c r="A166" s="118" t="s">
        <v>655</v>
      </c>
      <c r="B166" s="111">
        <f>('Pivot Table for Data Exchange'!$G$79)*100</f>
        <v>0</v>
      </c>
      <c r="C166" s="111">
        <f>('Pivot Table for Data Exchange'!$G$82)*100</f>
        <v>0</v>
      </c>
      <c r="D166" s="112">
        <f>SUM(E166:G166)</f>
        <v>0</v>
      </c>
      <c r="E166" s="111">
        <f>('Pivot Table for Data Exchange'!$G$85)*100</f>
        <v>0</v>
      </c>
      <c r="F166" s="111">
        <f>('Pivot Table for Data Exchange'!$G$88)*100</f>
        <v>0</v>
      </c>
      <c r="G166" s="119">
        <f>('Pivot Table for Data Exchange'!$G$91)*100</f>
        <v>0</v>
      </c>
      <c r="H166" s="111">
        <f>('Pivot Table for Data Exchange'!$G$94)*100</f>
        <v>0</v>
      </c>
      <c r="I166" s="118" t="s">
        <v>655</v>
      </c>
      <c r="J166" s="111">
        <f>('Pivot Table for Data Exchange'!$G$97)*100</f>
        <v>0</v>
      </c>
      <c r="K166" s="111">
        <f>('Pivot Table for Data Exchange'!$G$100)*100</f>
        <v>0</v>
      </c>
      <c r="L166" s="112">
        <f>SUM(M166:O166)</f>
        <v>0</v>
      </c>
      <c r="M166" s="111">
        <f>('Pivot Table for Data Exchange'!$G$103)*100</f>
        <v>0</v>
      </c>
      <c r="N166" s="111">
        <f>('Pivot Table for Data Exchange'!$G$106)*100</f>
        <v>0</v>
      </c>
      <c r="O166" s="119">
        <f>('Pivot Table for Data Exchange'!$G$109)*100</f>
        <v>0</v>
      </c>
      <c r="P166" s="111">
        <f>('Pivot Table for Data Exchange'!$G$112)*100</f>
        <v>0</v>
      </c>
      <c r="Q166" s="160">
        <f t="shared" si="6"/>
        <v>0</v>
      </c>
      <c r="R166" s="160">
        <f t="shared" si="7"/>
        <v>0</v>
      </c>
      <c r="S166" s="161"/>
      <c r="T166" s="167"/>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row>
    <row r="167" spans="1:41" ht="15.75" customHeight="1">
      <c r="A167" s="118" t="s">
        <v>695</v>
      </c>
      <c r="B167" s="111">
        <f>('Pivot Table for Data Exchange'!$G$115)*100</f>
        <v>0</v>
      </c>
      <c r="C167" s="111">
        <f>('Pivot Table for Data Exchange'!$G$118)*100</f>
        <v>0</v>
      </c>
      <c r="D167" s="112">
        <f>SUM(E167:G167)</f>
        <v>0</v>
      </c>
      <c r="E167" s="111">
        <f>('Pivot Table for Data Exchange'!$G$121)*100</f>
        <v>0</v>
      </c>
      <c r="F167" s="111">
        <f>('Pivot Table for Data Exchange'!$G$124)*100</f>
        <v>0</v>
      </c>
      <c r="G167" s="119">
        <f>('Pivot Table for Data Exchange'!$G$127)*100</f>
        <v>0</v>
      </c>
      <c r="H167" s="111">
        <f>('Pivot Table for Data Exchange'!$G$130)*100</f>
        <v>0</v>
      </c>
      <c r="I167" s="118" t="s">
        <v>695</v>
      </c>
      <c r="J167" s="111">
        <f>('Pivot Table for Data Exchange'!$G$133)*100</f>
        <v>0</v>
      </c>
      <c r="K167" s="111">
        <f>('Pivot Table for Data Exchange'!$G$136)*100</f>
        <v>0</v>
      </c>
      <c r="L167" s="112">
        <f>SUM(M167:O167)</f>
        <v>0</v>
      </c>
      <c r="M167" s="111">
        <f>('Pivot Table for Data Exchange'!$G$139)*100</f>
        <v>0</v>
      </c>
      <c r="N167" s="111">
        <f>('Pivot Table for Data Exchange'!$G$142)*100</f>
        <v>0</v>
      </c>
      <c r="O167" s="119">
        <f>('Pivot Table for Data Exchange'!$G$145)*100</f>
        <v>0</v>
      </c>
      <c r="P167" s="111">
        <f>('Pivot Table for Data Exchange'!$G$148)*100</f>
        <v>0</v>
      </c>
      <c r="Q167" s="160">
        <f t="shared" si="6"/>
        <v>0</v>
      </c>
      <c r="R167" s="160">
        <f t="shared" si="7"/>
        <v>0</v>
      </c>
      <c r="S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row>
    <row r="168" spans="1:41" ht="10.5" customHeight="1">
      <c r="A168" s="118"/>
      <c r="B168" s="111"/>
      <c r="C168" s="111"/>
      <c r="D168" s="112"/>
      <c r="E168" s="111"/>
      <c r="F168" s="111"/>
      <c r="G168" s="119"/>
      <c r="H168" s="111"/>
      <c r="I168" s="118"/>
      <c r="J168" s="111"/>
      <c r="K168" s="111"/>
      <c r="L168" s="112"/>
      <c r="M168" s="111"/>
      <c r="N168" s="111"/>
      <c r="O168" s="119"/>
      <c r="P168" s="111"/>
      <c r="Q168" s="160">
        <f t="shared" si="6"/>
        <v>0</v>
      </c>
      <c r="R168" s="160">
        <f t="shared" si="7"/>
        <v>0</v>
      </c>
      <c r="S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row>
    <row r="169" spans="1:41" ht="15.75" customHeight="1">
      <c r="A169" s="118" t="s">
        <v>657</v>
      </c>
      <c r="B169" s="111">
        <f>('Pivot Table for Data Exchange'!$G$151)*100</f>
        <v>0</v>
      </c>
      <c r="C169" s="111">
        <f>('Pivot Table for Data Exchange'!$G$154)*100</f>
        <v>0</v>
      </c>
      <c r="D169" s="112">
        <f>SUM(E169:G169)</f>
        <v>0</v>
      </c>
      <c r="E169" s="111">
        <f>('Pivot Table for Data Exchange'!$G$157)*100</f>
        <v>0</v>
      </c>
      <c r="F169" s="111">
        <f>('Pivot Table for Data Exchange'!$G$160)*100</f>
        <v>0</v>
      </c>
      <c r="G169" s="119">
        <f>('Pivot Table for Data Exchange'!$G$163)*100</f>
        <v>0</v>
      </c>
      <c r="H169" s="120">
        <f>('Pivot Table for Data Exchange'!$G$166)*100</f>
        <v>0</v>
      </c>
      <c r="I169" s="118" t="s">
        <v>657</v>
      </c>
      <c r="J169" s="111">
        <f>('Pivot Table for Data Exchange'!$G$169)*100</f>
        <v>0</v>
      </c>
      <c r="K169" s="111">
        <f>('Pivot Table for Data Exchange'!$G$172)*100</f>
        <v>0</v>
      </c>
      <c r="L169" s="112">
        <f>SUM(M169:O169)</f>
        <v>0</v>
      </c>
      <c r="M169" s="111">
        <f>('Pivot Table for Data Exchange'!$G$175)*100</f>
        <v>0</v>
      </c>
      <c r="N169" s="120">
        <f>('Pivot Table for Data Exchange'!$G$178)*100</f>
        <v>0</v>
      </c>
      <c r="O169" s="119">
        <f>('Pivot Table for Data Exchange'!$G$181)*100</f>
        <v>0</v>
      </c>
      <c r="P169" s="111">
        <f>('Pivot Table for Data Exchange'!$G$184)*100</f>
        <v>0</v>
      </c>
      <c r="Q169" s="160">
        <f t="shared" si="6"/>
        <v>0</v>
      </c>
      <c r="R169" s="160">
        <f t="shared" si="7"/>
        <v>0</v>
      </c>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row>
    <row r="170" spans="1:41" ht="15.75" customHeight="1">
      <c r="A170" s="118" t="s">
        <v>658</v>
      </c>
      <c r="B170" s="111">
        <f>('Pivot Table for Data Exchange'!$G$187)*100</f>
        <v>0</v>
      </c>
      <c r="C170" s="111">
        <f>('Pivot Table for Data Exchange'!$G$190)*100</f>
        <v>0</v>
      </c>
      <c r="D170" s="112">
        <f>SUM(E170:G170)</f>
        <v>0</v>
      </c>
      <c r="E170" s="111">
        <f>('Pivot Table for Data Exchange'!$G$193)*100</f>
        <v>0</v>
      </c>
      <c r="F170" s="111">
        <f>('Pivot Table for Data Exchange'!$G$196)*100</f>
        <v>0</v>
      </c>
      <c r="G170" s="119">
        <f>('Pivot Table for Data Exchange'!$G$199)*100</f>
        <v>0</v>
      </c>
      <c r="H170" s="111">
        <f>('Pivot Table for Data Exchange'!$G$202)*100</f>
        <v>0</v>
      </c>
      <c r="I170" s="118" t="s">
        <v>658</v>
      </c>
      <c r="J170" s="111">
        <f>('Pivot Table for Data Exchange'!$G$205)*100</f>
        <v>0</v>
      </c>
      <c r="K170" s="111">
        <f>('Pivot Table for Data Exchange'!$G$208)*100</f>
        <v>0</v>
      </c>
      <c r="L170" s="112">
        <f>SUM(M170:O170)</f>
        <v>0</v>
      </c>
      <c r="M170" s="111">
        <f>('Pivot Table for Data Exchange'!$G$211)*100</f>
        <v>0</v>
      </c>
      <c r="N170" s="111">
        <f>('Pivot Table for Data Exchange'!$G$214)*100</f>
        <v>0</v>
      </c>
      <c r="O170" s="119">
        <f>('Pivot Table for Data Exchange'!$G$217)*100</f>
        <v>0</v>
      </c>
      <c r="P170" s="111">
        <f>('Pivot Table for Data Exchange'!$G$220)*100</f>
        <v>0</v>
      </c>
      <c r="Q170" s="160">
        <f t="shared" si="6"/>
        <v>0</v>
      </c>
      <c r="R170" s="160">
        <f t="shared" si="7"/>
        <v>0</v>
      </c>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row>
    <row r="171" spans="1:41" ht="15.75" customHeight="1">
      <c r="A171" s="118" t="s">
        <v>659</v>
      </c>
      <c r="B171" s="111">
        <f>('Pivot Table for Data Exchange'!$G$223)*100</f>
        <v>0</v>
      </c>
      <c r="C171" s="111">
        <f>('Pivot Table for Data Exchange'!$G$226)*100</f>
        <v>0</v>
      </c>
      <c r="D171" s="112">
        <f>SUM(E171:G171)</f>
        <v>0</v>
      </c>
      <c r="E171" s="111">
        <f>('Pivot Table for Data Exchange'!$G$229)*100</f>
        <v>0</v>
      </c>
      <c r="F171" s="111">
        <f>('Pivot Table for Data Exchange'!$G$232)*100</f>
        <v>0</v>
      </c>
      <c r="G171" s="119">
        <f>('Pivot Table for Data Exchange'!$G$235)*100</f>
        <v>0</v>
      </c>
      <c r="H171" s="111">
        <f>('Pivot Table for Data Exchange'!$G$238)*100</f>
        <v>0</v>
      </c>
      <c r="I171" s="118" t="s">
        <v>659</v>
      </c>
      <c r="J171" s="111">
        <f>('Pivot Table for Data Exchange'!$G$241)*100</f>
        <v>0</v>
      </c>
      <c r="K171" s="111">
        <f>('Pivot Table for Data Exchange'!$G$244)*100</f>
        <v>0</v>
      </c>
      <c r="L171" s="112">
        <f>SUM(M171:O171)</f>
        <v>0</v>
      </c>
      <c r="M171" s="111">
        <f>('Pivot Table for Data Exchange'!$G$247)*100</f>
        <v>0</v>
      </c>
      <c r="N171" s="111">
        <f>('Pivot Table for Data Exchange'!$G$250)*100</f>
        <v>0</v>
      </c>
      <c r="O171" s="119">
        <f>('Pivot Table for Data Exchange'!$G$253)*100</f>
        <v>0</v>
      </c>
      <c r="P171" s="111">
        <f>('Pivot Table for Data Exchange'!$G$256)*100</f>
        <v>0</v>
      </c>
      <c r="Q171" s="160">
        <f t="shared" si="6"/>
        <v>0</v>
      </c>
      <c r="R171" s="160">
        <f t="shared" si="7"/>
        <v>0</v>
      </c>
      <c r="S171" s="161"/>
      <c r="T171" s="167"/>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row>
    <row r="172" spans="1:41" ht="15.75" customHeight="1">
      <c r="A172" s="118" t="s">
        <v>700</v>
      </c>
      <c r="B172" s="111">
        <f>('Pivot Table for Data Exchange'!$G$259)*100</f>
        <v>0</v>
      </c>
      <c r="C172" s="111">
        <f>('Pivot Table for Data Exchange'!$G$262)*100</f>
        <v>0</v>
      </c>
      <c r="D172" s="112">
        <f>SUM(E172:G172)</f>
        <v>0</v>
      </c>
      <c r="E172" s="111">
        <f>('Pivot Table for Data Exchange'!$G$265)*100</f>
        <v>0</v>
      </c>
      <c r="F172" s="111">
        <f>('Pivot Table for Data Exchange'!$G$268)*100</f>
        <v>0</v>
      </c>
      <c r="G172" s="119">
        <f>('Pivot Table for Data Exchange'!$G$271)*100</f>
        <v>0</v>
      </c>
      <c r="H172" s="111">
        <f>('Pivot Table for Data Exchange'!$G$274)*100</f>
        <v>0</v>
      </c>
      <c r="I172" s="118" t="s">
        <v>700</v>
      </c>
      <c r="J172" s="111">
        <f>('Pivot Table for Data Exchange'!$G$277)*100</f>
        <v>0</v>
      </c>
      <c r="K172" s="111">
        <f>('Pivot Table for Data Exchange'!$G$280)*100</f>
        <v>0</v>
      </c>
      <c r="L172" s="112">
        <f>SUM(M172:O172)</f>
        <v>0</v>
      </c>
      <c r="M172" s="111">
        <f>('Pivot Table for Data Exchange'!$G$283)*100</f>
        <v>0</v>
      </c>
      <c r="N172" s="111">
        <f>('Pivot Table for Data Exchange'!$G$286)*100</f>
        <v>0</v>
      </c>
      <c r="O172" s="119">
        <f>('Pivot Table for Data Exchange'!$G$289)*100</f>
        <v>0</v>
      </c>
      <c r="P172" s="111">
        <f>('Pivot Table for Data Exchange'!$G$292)*100</f>
        <v>0</v>
      </c>
      <c r="Q172" s="160">
        <f t="shared" si="6"/>
        <v>0</v>
      </c>
      <c r="R172" s="160">
        <f t="shared" si="7"/>
        <v>0</v>
      </c>
      <c r="S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row>
    <row r="173" spans="1:41" ht="11.25" customHeight="1">
      <c r="A173" s="118"/>
      <c r="B173" s="111"/>
      <c r="C173" s="111"/>
      <c r="D173" s="112"/>
      <c r="E173" s="111"/>
      <c r="F173" s="111"/>
      <c r="G173" s="119"/>
      <c r="H173" s="111"/>
      <c r="I173" s="118"/>
      <c r="J173" s="111"/>
      <c r="K173" s="111"/>
      <c r="L173" s="112"/>
      <c r="M173" s="111"/>
      <c r="N173" s="111"/>
      <c r="O173" s="119"/>
      <c r="P173" s="111"/>
      <c r="Q173" s="160">
        <f t="shared" si="6"/>
        <v>0</v>
      </c>
      <c r="R173" s="160">
        <f t="shared" si="7"/>
        <v>0</v>
      </c>
      <c r="S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row>
    <row r="174" spans="1:41" ht="15.75" customHeight="1">
      <c r="A174" s="118" t="s">
        <v>661</v>
      </c>
      <c r="B174" s="111">
        <f>('Pivot Table for Data Exchange'!$G$295)*100</f>
        <v>69.584602691038327</v>
      </c>
      <c r="C174" s="111">
        <f>('Pivot Table for Data Exchange'!$G$298)*100</f>
        <v>0</v>
      </c>
      <c r="D174" s="112">
        <f>SUM(E174:G174)</f>
        <v>30.415397308961666</v>
      </c>
      <c r="E174" s="111">
        <f>('Pivot Table for Data Exchange'!$G$301)*100</f>
        <v>30.415397308961666</v>
      </c>
      <c r="F174" s="111">
        <f>('Pivot Table for Data Exchange'!$G$304)*100</f>
        <v>0</v>
      </c>
      <c r="G174" s="119">
        <f>('Pivot Table for Data Exchange'!$G$307)*100</f>
        <v>0</v>
      </c>
      <c r="H174" s="111">
        <f>('Pivot Table for Data Exchange'!$G$310)*100</f>
        <v>0</v>
      </c>
      <c r="I174" s="118" t="s">
        <v>661</v>
      </c>
      <c r="J174" s="111">
        <f>('Pivot Table for Data Exchange'!$G$313)*100</f>
        <v>66.340813152632748</v>
      </c>
      <c r="K174" s="111">
        <f>('Pivot Table for Data Exchange'!$G$316)*100</f>
        <v>6.1319706731837371</v>
      </c>
      <c r="L174" s="112">
        <f>SUM(M174:O174)</f>
        <v>27.527216174183515</v>
      </c>
      <c r="M174" s="111">
        <f>('Pivot Table for Data Exchange'!$G$319)*100</f>
        <v>27.527216174183515</v>
      </c>
      <c r="N174" s="111">
        <f>('Pivot Table for Data Exchange'!$G$322)*100</f>
        <v>0</v>
      </c>
      <c r="O174" s="119">
        <f>('Pivot Table for Data Exchange'!$G$325)*100</f>
        <v>0</v>
      </c>
      <c r="P174" s="111">
        <f>('Pivot Table for Data Exchange'!$G$328)*100</f>
        <v>0</v>
      </c>
      <c r="Q174" s="160">
        <f t="shared" si="6"/>
        <v>100</v>
      </c>
      <c r="R174" s="160">
        <f t="shared" si="7"/>
        <v>100</v>
      </c>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row>
    <row r="175" spans="1:41" ht="15.75" customHeight="1">
      <c r="A175" s="118" t="s">
        <v>662</v>
      </c>
      <c r="B175" s="111">
        <f>('Pivot Table for Data Exchange'!$G$331)*100</f>
        <v>79.174152977412732</v>
      </c>
      <c r="C175" s="111">
        <f>('Pivot Table for Data Exchange'!$G$334)*100</f>
        <v>5.706318835168938</v>
      </c>
      <c r="D175" s="112">
        <f>SUM(E175:G175)</f>
        <v>15.11952818741833</v>
      </c>
      <c r="E175" s="111">
        <f>('Pivot Table for Data Exchange'!$G$337)*100</f>
        <v>14.915356076162031</v>
      </c>
      <c r="F175" s="111">
        <f>('Pivot Table for Data Exchange'!$G$340)*100</f>
        <v>0.20417211125630016</v>
      </c>
      <c r="G175" s="119">
        <f>('Pivot Table for Data Exchange'!$G$343)*100</f>
        <v>0</v>
      </c>
      <c r="H175" s="111">
        <f>('Pivot Table for Data Exchange'!$G$346)*100</f>
        <v>0</v>
      </c>
      <c r="I175" s="118" t="s">
        <v>662</v>
      </c>
      <c r="J175" s="111">
        <f>('Pivot Table for Data Exchange'!$G$349)*100</f>
        <v>63.94679100383982</v>
      </c>
      <c r="K175" s="111">
        <f>('Pivot Table for Data Exchange'!$G$352)*100</f>
        <v>6.1345767050649114</v>
      </c>
      <c r="L175" s="112">
        <f>SUM(M175:O175)</f>
        <v>29.918632291095268</v>
      </c>
      <c r="M175" s="111">
        <f>('Pivot Table for Data Exchange'!$G$355)*100</f>
        <v>29.287803986103494</v>
      </c>
      <c r="N175" s="111">
        <f>('Pivot Table for Data Exchange'!$G$358)*100</f>
        <v>0.63082830499177178</v>
      </c>
      <c r="O175" s="119">
        <f>('Pivot Table for Data Exchange'!$G$361)*100</f>
        <v>0</v>
      </c>
      <c r="P175" s="111">
        <f>('Pivot Table for Data Exchange'!$G$364)*100</f>
        <v>0</v>
      </c>
      <c r="Q175" s="160">
        <f t="shared" si="6"/>
        <v>100</v>
      </c>
      <c r="R175" s="160">
        <f t="shared" si="7"/>
        <v>100</v>
      </c>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row>
    <row r="176" spans="1:41" ht="15.75" customHeight="1">
      <c r="A176" s="118" t="s">
        <v>663</v>
      </c>
      <c r="B176" s="111">
        <f>('Pivot Table for Data Exchange'!$G$367)*100</f>
        <v>82.903586676884345</v>
      </c>
      <c r="C176" s="111">
        <f>('Pivot Table for Data Exchange'!$G$370)*100</f>
        <v>0.66899529257211676</v>
      </c>
      <c r="D176" s="112">
        <f>SUM(E176:G176)</f>
        <v>16.427418030543546</v>
      </c>
      <c r="E176" s="111">
        <f>('Pivot Table for Data Exchange'!$G$373)*100</f>
        <v>10.211971098582298</v>
      </c>
      <c r="F176" s="111">
        <f>('Pivot Table for Data Exchange'!$G$376)*100</f>
        <v>4.4960041600525482</v>
      </c>
      <c r="G176" s="119">
        <f>('Pivot Table for Data Exchange'!$G$379)*100</f>
        <v>1.719442771908698</v>
      </c>
      <c r="H176" s="111">
        <f>('Pivot Table for Data Exchange'!$G$382)*100</f>
        <v>0</v>
      </c>
      <c r="I176" s="118" t="s">
        <v>663</v>
      </c>
      <c r="J176" s="111">
        <f>('Pivot Table for Data Exchange'!$G$385)*100</f>
        <v>56.571077198278275</v>
      </c>
      <c r="K176" s="111">
        <f>('Pivot Table for Data Exchange'!$G$388)*100</f>
        <v>1.3565133135819032</v>
      </c>
      <c r="L176" s="112">
        <f>SUM(M176:O176)</f>
        <v>42.072409488139826</v>
      </c>
      <c r="M176" s="111">
        <f>('Pivot Table for Data Exchange'!$G$391)*100</f>
        <v>26.096111204278234</v>
      </c>
      <c r="N176" s="111">
        <f>('Pivot Table for Data Exchange'!$G$394)*100</f>
        <v>14.237799765218851</v>
      </c>
      <c r="O176" s="119">
        <f>('Pivot Table for Data Exchange'!$G$397)*100</f>
        <v>1.7384985186427413</v>
      </c>
      <c r="P176" s="111">
        <f>('Pivot Table for Data Exchange'!$G$400)*100</f>
        <v>0</v>
      </c>
      <c r="Q176" s="160">
        <f t="shared" si="6"/>
        <v>100.00000000000001</v>
      </c>
      <c r="R176" s="160">
        <f t="shared" si="7"/>
        <v>100</v>
      </c>
      <c r="S176" s="161"/>
      <c r="T176" s="167"/>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row>
    <row r="177" spans="1:41" ht="15.75" customHeight="1">
      <c r="A177" s="118" t="s">
        <v>664</v>
      </c>
      <c r="B177" s="111">
        <f>('Pivot Table for Data Exchange'!$G$403)*100</f>
        <v>97.178033025409746</v>
      </c>
      <c r="C177" s="111">
        <f>('Pivot Table for Data Exchange'!$G$406)*100</f>
        <v>0.58705490095234325</v>
      </c>
      <c r="D177" s="112">
        <f>SUM(E177:G177)</f>
        <v>2.2349120736379162</v>
      </c>
      <c r="E177" s="111">
        <f>('Pivot Table for Data Exchange'!$G$409)*100</f>
        <v>2.1713932168894221</v>
      </c>
      <c r="F177" s="111">
        <f>('Pivot Table for Data Exchange'!$G$412)*100</f>
        <v>0</v>
      </c>
      <c r="G177" s="119">
        <f>('Pivot Table for Data Exchange'!$G$415)*100</f>
        <v>6.3518856748493904E-2</v>
      </c>
      <c r="H177" s="111">
        <f>('Pivot Table for Data Exchange'!$G$418)*100</f>
        <v>0</v>
      </c>
      <c r="I177" s="118" t="s">
        <v>664</v>
      </c>
      <c r="J177" s="111">
        <f>('Pivot Table for Data Exchange'!$G$421)*100</f>
        <v>70.659902532555734</v>
      </c>
      <c r="K177" s="111">
        <f>('Pivot Table for Data Exchange'!$G$424)*100</f>
        <v>17.128704961252698</v>
      </c>
      <c r="L177" s="112">
        <f>SUM(M177:O177)</f>
        <v>12.211392506191579</v>
      </c>
      <c r="M177" s="111">
        <f>('Pivot Table for Data Exchange'!$G$427)*100</f>
        <v>12.211392506191579</v>
      </c>
      <c r="N177" s="111">
        <f>('Pivot Table for Data Exchange'!$G$430)*100</f>
        <v>0</v>
      </c>
      <c r="O177" s="119">
        <f>('Pivot Table for Data Exchange'!$G$433)*100</f>
        <v>0</v>
      </c>
      <c r="P177" s="111">
        <f>('Pivot Table for Data Exchange'!$G$436)*100</f>
        <v>0</v>
      </c>
      <c r="Q177" s="160">
        <f t="shared" si="6"/>
        <v>100</v>
      </c>
      <c r="R177" s="160">
        <f t="shared" si="7"/>
        <v>100</v>
      </c>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row>
    <row r="178" spans="1:41" ht="11.25" customHeight="1">
      <c r="A178" s="118"/>
      <c r="B178" s="111"/>
      <c r="C178" s="111"/>
      <c r="D178" s="112"/>
      <c r="E178" s="111"/>
      <c r="F178" s="111"/>
      <c r="G178" s="119"/>
      <c r="H178" s="111"/>
      <c r="I178" s="118"/>
      <c r="J178" s="111"/>
      <c r="K178" s="111"/>
      <c r="L178" s="112"/>
      <c r="M178" s="111"/>
      <c r="N178" s="111"/>
      <c r="O178" s="119"/>
      <c r="P178" s="111"/>
      <c r="Q178" s="160">
        <f t="shared" si="6"/>
        <v>0</v>
      </c>
      <c r="R178" s="160">
        <f t="shared" si="7"/>
        <v>0</v>
      </c>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row>
    <row r="179" spans="1:41" ht="15.75" customHeight="1">
      <c r="A179" s="118" t="s">
        <v>665</v>
      </c>
      <c r="B179" s="111">
        <f>('Pivot Table for Data Exchange'!$G$439)*100</f>
        <v>93.094078603726004</v>
      </c>
      <c r="C179" s="111">
        <f>('Pivot Table for Data Exchange'!$G$442)*100</f>
        <v>0.69855908997377758</v>
      </c>
      <c r="D179" s="112">
        <f>SUM(E179:G179)</f>
        <v>6.1166129381163179</v>
      </c>
      <c r="E179" s="111">
        <f>('Pivot Table for Data Exchange'!$G$445)*100</f>
        <v>4.4060928703708591</v>
      </c>
      <c r="F179" s="111">
        <f>('Pivot Table for Data Exchange'!$G$448)*100</f>
        <v>1.6836118248537195</v>
      </c>
      <c r="G179" s="121">
        <f>('Pivot Table for Data Exchange'!$G$451)*100</f>
        <v>2.6908242891739171E-2</v>
      </c>
      <c r="H179" s="111">
        <f>('Pivot Table for Data Exchange'!$G$454)*100</f>
        <v>9.0749368183904652E-2</v>
      </c>
      <c r="I179" s="118" t="s">
        <v>665</v>
      </c>
      <c r="J179" s="111">
        <f>('Pivot Table for Data Exchange'!$G$457)*100</f>
        <v>40.838951310861418</v>
      </c>
      <c r="K179" s="111">
        <f>('Pivot Table for Data Exchange'!$G$460)*100</f>
        <v>0.79400749063670406</v>
      </c>
      <c r="L179" s="112">
        <f>SUM(M179:O179)</f>
        <v>58.367041198501873</v>
      </c>
      <c r="M179" s="111">
        <f>('Pivot Table for Data Exchange'!$G$463)*100</f>
        <v>49.992509363295881</v>
      </c>
      <c r="N179" s="111">
        <f>('Pivot Table for Data Exchange'!$G$466)*100</f>
        <v>8.3745318352059925</v>
      </c>
      <c r="O179" s="119">
        <f>('Pivot Table for Data Exchange'!$G$469)*100</f>
        <v>0</v>
      </c>
      <c r="P179" s="111">
        <f>('Pivot Table for Data Exchange'!$G$472)*100</f>
        <v>0</v>
      </c>
      <c r="Q179" s="160">
        <f t="shared" si="6"/>
        <v>100.00000000000001</v>
      </c>
      <c r="R179" s="160">
        <f t="shared" si="7"/>
        <v>100</v>
      </c>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row>
    <row r="180" spans="1:41" ht="15.75" customHeight="1">
      <c r="A180" s="118" t="s">
        <v>666</v>
      </c>
      <c r="B180" s="111">
        <f>('Pivot Table for Data Exchange'!$G$475)*100</f>
        <v>77.980371625818591</v>
      </c>
      <c r="C180" s="111">
        <f>('Pivot Table for Data Exchange'!$G$478)*100</f>
        <v>4.5461160310220601</v>
      </c>
      <c r="D180" s="112">
        <f>SUM(E180:G180)</f>
        <v>17.473512343159353</v>
      </c>
      <c r="E180" s="111">
        <f>('Pivot Table for Data Exchange'!$G$481)*100</f>
        <v>15.493992581681368</v>
      </c>
      <c r="F180" s="111">
        <f>('Pivot Table for Data Exchange'!$G$484)*100</f>
        <v>1.9795197614779845</v>
      </c>
      <c r="G180" s="119">
        <f>('Pivot Table for Data Exchange'!$G$487)*100</f>
        <v>0</v>
      </c>
      <c r="H180" s="111">
        <f>('Pivot Table for Data Exchange'!$G$490)*100</f>
        <v>0</v>
      </c>
      <c r="I180" s="118" t="s">
        <v>666</v>
      </c>
      <c r="J180" s="111">
        <f>('Pivot Table for Data Exchange'!$G$493)*100</f>
        <v>70.453333333333333</v>
      </c>
      <c r="K180" s="111">
        <f>('Pivot Table for Data Exchange'!$G$496)*100</f>
        <v>0.53333333333333333</v>
      </c>
      <c r="L180" s="112">
        <f>SUM(M180:O180)</f>
        <v>29.013333333333335</v>
      </c>
      <c r="M180" s="111">
        <f>('Pivot Table for Data Exchange'!$G$499)*100</f>
        <v>21.92</v>
      </c>
      <c r="N180" s="111">
        <f>('Pivot Table for Data Exchange'!$G$502)*100</f>
        <v>7.0933333333333337</v>
      </c>
      <c r="O180" s="119">
        <f>('Pivot Table for Data Exchange'!$G$505)*100</f>
        <v>0</v>
      </c>
      <c r="P180" s="111">
        <f>('Pivot Table for Data Exchange'!$G$508)*100</f>
        <v>0</v>
      </c>
      <c r="Q180" s="160">
        <f t="shared" si="6"/>
        <v>100.00000000000001</v>
      </c>
      <c r="R180" s="160">
        <f t="shared" si="7"/>
        <v>100</v>
      </c>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row>
    <row r="181" spans="1:41" ht="15.75" customHeight="1">
      <c r="A181" s="118" t="s">
        <v>667</v>
      </c>
      <c r="B181" s="111">
        <f>('Pivot Table for Data Exchange'!$G$511)*100</f>
        <v>97.700540626430538</v>
      </c>
      <c r="C181" s="111">
        <f>('Pivot Table for Data Exchange'!$G$514)*100</f>
        <v>0.13052212633785179</v>
      </c>
      <c r="D181" s="112">
        <f>SUM(E181:G181)</f>
        <v>2.1689372472316069</v>
      </c>
      <c r="E181" s="111">
        <f>('Pivot Table for Data Exchange'!$G$517)*100</f>
        <v>2.1224032717546337</v>
      </c>
      <c r="F181" s="111">
        <f>('Pivot Table for Data Exchange'!$G$520)*100</f>
        <v>4.6533975476973251E-2</v>
      </c>
      <c r="G181" s="119">
        <f>('Pivot Table for Data Exchange'!$G$523)*100</f>
        <v>0</v>
      </c>
      <c r="H181" s="111">
        <f>('Pivot Table for Data Exchange'!$G$526)*100</f>
        <v>0</v>
      </c>
      <c r="I181" s="118" t="s">
        <v>667</v>
      </c>
      <c r="J181" s="111">
        <f>('Pivot Table for Data Exchange'!$G$529)*100</f>
        <v>88.170116772823775</v>
      </c>
      <c r="K181" s="111">
        <f>('Pivot Table for Data Exchange'!$G$532)*100</f>
        <v>0.63694267515923575</v>
      </c>
      <c r="L181" s="112">
        <f>SUM(M181:O181)</f>
        <v>11.192940552016985</v>
      </c>
      <c r="M181" s="111">
        <f>('Pivot Table for Data Exchange'!$G$535)*100</f>
        <v>11.192940552016985</v>
      </c>
      <c r="N181" s="111">
        <f>('Pivot Table for Data Exchange'!$G$538)*100</f>
        <v>0</v>
      </c>
      <c r="O181" s="119">
        <f>('Pivot Table for Data Exchange'!$G$541)*100</f>
        <v>0</v>
      </c>
      <c r="P181" s="111">
        <f>('Pivot Table for Data Exchange'!$G$544)*100</f>
        <v>0</v>
      </c>
      <c r="Q181" s="160">
        <f t="shared" si="6"/>
        <v>100</v>
      </c>
      <c r="R181" s="160">
        <f t="shared" si="7"/>
        <v>100</v>
      </c>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row>
    <row r="182" spans="1:41" ht="15.75" customHeight="1">
      <c r="A182" s="91" t="s">
        <v>668</v>
      </c>
      <c r="B182" s="122">
        <f>('Pivot Table for Data Exchange'!$G$547)*100</f>
        <v>86.70721225791533</v>
      </c>
      <c r="C182" s="122">
        <f>('Pivot Table for Data Exchange'!$G$550)*100</f>
        <v>6.401200661410865</v>
      </c>
      <c r="D182" s="123">
        <f>SUM(E182:G182)</f>
        <v>6.8915870806738013</v>
      </c>
      <c r="E182" s="122">
        <f>('Pivot Table for Data Exchange'!$G$553)*100</f>
        <v>6.8915870806738013</v>
      </c>
      <c r="F182" s="122">
        <f>('Pivot Table for Data Exchange'!$G$556)*100</f>
        <v>0</v>
      </c>
      <c r="G182" s="124">
        <f>('Pivot Table for Data Exchange'!$G$559)*100</f>
        <v>0</v>
      </c>
      <c r="H182" s="122">
        <f>('Pivot Table for Data Exchange'!$G$562)*100</f>
        <v>0</v>
      </c>
      <c r="I182" s="91" t="s">
        <v>668</v>
      </c>
      <c r="J182" s="122">
        <f>('Pivot Table for Data Exchange'!$G$565)*100</f>
        <v>51.475562813484203</v>
      </c>
      <c r="K182" s="122">
        <f>('Pivot Table for Data Exchange'!$G$568)*100</f>
        <v>0</v>
      </c>
      <c r="L182" s="123">
        <f>SUM(M182:O182)</f>
        <v>48.524437186515804</v>
      </c>
      <c r="M182" s="122">
        <f>('Pivot Table for Data Exchange'!$G$571)*100</f>
        <v>48.524437186515804</v>
      </c>
      <c r="N182" s="122">
        <f>('Pivot Table for Data Exchange'!$G$574)*100</f>
        <v>0</v>
      </c>
      <c r="O182" s="124">
        <f>('Pivot Table for Data Exchange'!$G$577)*100</f>
        <v>0</v>
      </c>
      <c r="P182" s="122">
        <f>('Pivot Table for Data Exchange'!$G$580)*100</f>
        <v>0</v>
      </c>
      <c r="Q182" s="160">
        <f t="shared" si="6"/>
        <v>100</v>
      </c>
      <c r="R182" s="160">
        <f t="shared" si="7"/>
        <v>100</v>
      </c>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row>
    <row r="183" spans="1:41" s="166" customFormat="1" ht="18" customHeight="1">
      <c r="A183" s="58" t="s">
        <v>697</v>
      </c>
      <c r="B183" s="126"/>
      <c r="C183" s="126"/>
      <c r="D183" s="127"/>
      <c r="E183" s="126"/>
      <c r="F183" s="127"/>
      <c r="G183" s="127"/>
      <c r="H183" s="126"/>
      <c r="I183" s="58" t="s">
        <v>697</v>
      </c>
      <c r="J183" s="126"/>
      <c r="K183" s="126"/>
      <c r="L183" s="127"/>
      <c r="M183" s="126"/>
      <c r="N183" s="127"/>
      <c r="O183" s="127"/>
      <c r="P183" s="126"/>
      <c r="Q183" s="160">
        <f t="shared" si="6"/>
        <v>0</v>
      </c>
      <c r="R183" s="160">
        <f t="shared" si="7"/>
        <v>0</v>
      </c>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row>
    <row r="184" spans="1:41" s="166" customFormat="1" ht="25.5" customHeight="1">
      <c r="A184" s="649" t="s">
        <v>698</v>
      </c>
      <c r="B184" s="650"/>
      <c r="C184" s="650"/>
      <c r="D184" s="650"/>
      <c r="E184" s="650"/>
      <c r="F184" s="650"/>
      <c r="G184" s="650"/>
      <c r="H184" s="650"/>
      <c r="I184" s="649" t="s">
        <v>698</v>
      </c>
      <c r="J184" s="650"/>
      <c r="K184" s="650"/>
      <c r="L184" s="650"/>
      <c r="M184" s="650"/>
      <c r="N184" s="650"/>
      <c r="O184" s="650"/>
      <c r="P184" s="650"/>
      <c r="Q184" s="160">
        <f t="shared" si="6"/>
        <v>0</v>
      </c>
      <c r="R184" s="160">
        <f t="shared" si="7"/>
        <v>0</v>
      </c>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row>
    <row r="185" spans="1:41" s="166" customFormat="1" ht="16.5" customHeight="1">
      <c r="A185" s="137"/>
      <c r="B185" s="176"/>
      <c r="C185" s="176"/>
      <c r="D185" s="176"/>
      <c r="E185" s="176"/>
      <c r="F185" s="176"/>
      <c r="G185" s="177"/>
      <c r="H185" s="177"/>
      <c r="I185" s="137"/>
      <c r="J185" s="176"/>
      <c r="K185" s="176"/>
      <c r="L185" s="176"/>
      <c r="M185" s="176"/>
      <c r="N185" s="176"/>
      <c r="O185" s="176"/>
      <c r="P185" s="177"/>
      <c r="Q185" s="160">
        <f t="shared" si="6"/>
        <v>0</v>
      </c>
      <c r="R185" s="160">
        <f t="shared" si="7"/>
        <v>0</v>
      </c>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row>
    <row r="186" spans="1:41" s="166" customFormat="1" ht="13.5" customHeight="1">
      <c r="A186" s="58"/>
      <c r="B186" s="135"/>
      <c r="C186" s="60"/>
      <c r="D186" s="60"/>
      <c r="E186" s="60"/>
      <c r="F186" s="60"/>
      <c r="G186" s="60"/>
      <c r="H186" s="64" t="s">
        <v>1034</v>
      </c>
      <c r="I186" s="58"/>
      <c r="J186" s="60"/>
      <c r="K186" s="60"/>
      <c r="L186" s="60"/>
      <c r="M186" s="60"/>
      <c r="N186" s="60"/>
      <c r="O186" s="60"/>
      <c r="P186" s="64" t="s">
        <v>1034</v>
      </c>
      <c r="Q186" s="160">
        <f t="shared" si="6"/>
        <v>0</v>
      </c>
      <c r="R186" s="160">
        <f t="shared" si="7"/>
        <v>0</v>
      </c>
    </row>
    <row r="187" spans="1:41" ht="18">
      <c r="A187" s="31" t="s">
        <v>1017</v>
      </c>
      <c r="B187" s="86"/>
      <c r="C187" s="86"/>
      <c r="D187" s="86"/>
      <c r="E187" s="86"/>
      <c r="F187" s="86"/>
      <c r="G187" s="86"/>
      <c r="H187" s="87"/>
      <c r="I187" s="31" t="s">
        <v>1032</v>
      </c>
      <c r="J187" s="38"/>
      <c r="K187" s="38"/>
      <c r="L187" s="86"/>
      <c r="M187" s="38"/>
      <c r="N187" s="38"/>
      <c r="O187" s="38"/>
      <c r="P187" s="38"/>
      <c r="Q187" s="160">
        <f t="shared" si="6"/>
        <v>0</v>
      </c>
      <c r="R187" s="160">
        <f t="shared" si="7"/>
        <v>0</v>
      </c>
    </row>
    <row r="188" spans="1:41">
      <c r="A188" s="37"/>
      <c r="B188" s="38"/>
      <c r="C188" s="38"/>
      <c r="D188" s="38"/>
      <c r="E188" s="38"/>
      <c r="F188" s="38"/>
      <c r="G188" s="38"/>
      <c r="H188" s="88"/>
      <c r="I188" s="37"/>
      <c r="J188" s="38"/>
      <c r="K188" s="38"/>
      <c r="L188" s="38"/>
      <c r="M188" s="38"/>
      <c r="N188" s="38"/>
      <c r="O188" s="38"/>
      <c r="P188" s="38"/>
      <c r="Q188" s="160">
        <f t="shared" si="6"/>
        <v>0</v>
      </c>
      <c r="R188" s="160">
        <f t="shared" si="7"/>
        <v>0</v>
      </c>
    </row>
    <row r="189" spans="1:41" ht="15.75">
      <c r="A189" s="89" t="s">
        <v>683</v>
      </c>
      <c r="B189" s="38"/>
      <c r="C189" s="38"/>
      <c r="D189" s="38"/>
      <c r="E189" s="38"/>
      <c r="F189" s="38"/>
      <c r="G189" s="38"/>
      <c r="H189" s="88"/>
      <c r="I189" s="89" t="s">
        <v>684</v>
      </c>
      <c r="J189" s="38"/>
      <c r="K189" s="38"/>
      <c r="L189" s="38"/>
      <c r="M189" s="38"/>
      <c r="N189" s="38"/>
      <c r="O189" s="38"/>
      <c r="P189" s="38"/>
      <c r="Q189" s="160">
        <f t="shared" si="6"/>
        <v>0</v>
      </c>
      <c r="R189" s="160">
        <f t="shared" si="7"/>
        <v>0</v>
      </c>
    </row>
    <row r="190" spans="1:41" ht="15.75">
      <c r="A190" s="89" t="s">
        <v>982</v>
      </c>
      <c r="B190" s="38"/>
      <c r="C190" s="38"/>
      <c r="D190" s="38"/>
      <c r="E190" s="38"/>
      <c r="F190" s="38"/>
      <c r="G190" s="38"/>
      <c r="H190" s="88"/>
      <c r="I190" s="89" t="s">
        <v>982</v>
      </c>
      <c r="J190" s="38"/>
      <c r="K190" s="38"/>
      <c r="L190" s="38"/>
      <c r="M190" s="38"/>
      <c r="N190" s="38"/>
      <c r="O190" s="38"/>
      <c r="P190" s="38"/>
      <c r="Q190" s="160">
        <f t="shared" si="6"/>
        <v>0</v>
      </c>
      <c r="R190" s="160">
        <f t="shared" si="7"/>
        <v>0</v>
      </c>
    </row>
    <row r="191" spans="1:41">
      <c r="A191" s="91"/>
      <c r="B191" s="92"/>
      <c r="C191" s="92"/>
      <c r="D191" s="92"/>
      <c r="E191" s="92"/>
      <c r="F191" s="92"/>
      <c r="G191" s="92"/>
      <c r="H191" s="92"/>
      <c r="I191" s="93"/>
      <c r="L191" s="94"/>
      <c r="P191" s="91"/>
      <c r="Q191" s="160">
        <f t="shared" si="6"/>
        <v>0</v>
      </c>
      <c r="R191" s="160">
        <f t="shared" si="7"/>
        <v>0</v>
      </c>
    </row>
    <row r="192" spans="1:41" s="109" customFormat="1">
      <c r="A192" s="95"/>
      <c r="B192" s="96" t="s">
        <v>685</v>
      </c>
      <c r="C192" s="96"/>
      <c r="D192" s="96"/>
      <c r="E192" s="96"/>
      <c r="F192" s="96"/>
      <c r="G192" s="96"/>
      <c r="H192" s="97"/>
      <c r="I192" s="95"/>
      <c r="J192" s="96" t="s">
        <v>685</v>
      </c>
      <c r="K192" s="96"/>
      <c r="L192" s="96"/>
      <c r="M192" s="96"/>
      <c r="N192" s="96"/>
      <c r="O192" s="96"/>
      <c r="P192" s="97"/>
      <c r="Q192" s="160">
        <f t="shared" si="6"/>
        <v>0</v>
      </c>
      <c r="R192" s="160">
        <f t="shared" si="7"/>
        <v>0</v>
      </c>
    </row>
    <row r="193" spans="1:41" s="109" customFormat="1">
      <c r="A193" s="95"/>
      <c r="B193" s="96" t="s">
        <v>686</v>
      </c>
      <c r="C193" s="96"/>
      <c r="D193" s="647" t="s">
        <v>687</v>
      </c>
      <c r="E193" s="648"/>
      <c r="F193" s="648"/>
      <c r="G193" s="648"/>
      <c r="H193" s="101" t="s">
        <v>59</v>
      </c>
      <c r="I193" s="95"/>
      <c r="J193" s="96" t="s">
        <v>686</v>
      </c>
      <c r="K193" s="96"/>
      <c r="L193" s="647" t="s">
        <v>687</v>
      </c>
      <c r="M193" s="648"/>
      <c r="N193" s="648"/>
      <c r="O193" s="648"/>
      <c r="P193" s="101" t="s">
        <v>59</v>
      </c>
      <c r="Q193" s="160">
        <f t="shared" si="6"/>
        <v>0</v>
      </c>
      <c r="R193" s="160">
        <f t="shared" si="7"/>
        <v>0</v>
      </c>
    </row>
    <row r="194" spans="1:41" s="109" customFormat="1" ht="40.5" customHeight="1">
      <c r="A194" s="95"/>
      <c r="B194" s="102" t="s">
        <v>688</v>
      </c>
      <c r="C194" s="103" t="s">
        <v>689</v>
      </c>
      <c r="D194" s="104" t="s">
        <v>690</v>
      </c>
      <c r="E194" s="105" t="s">
        <v>9</v>
      </c>
      <c r="F194" s="102" t="s">
        <v>691</v>
      </c>
      <c r="G194" s="106" t="s">
        <v>692</v>
      </c>
      <c r="H194" s="107" t="s">
        <v>693</v>
      </c>
      <c r="I194" s="95"/>
      <c r="J194" s="102" t="s">
        <v>688</v>
      </c>
      <c r="K194" s="103" t="s">
        <v>689</v>
      </c>
      <c r="L194" s="104" t="s">
        <v>690</v>
      </c>
      <c r="M194" s="105" t="s">
        <v>9</v>
      </c>
      <c r="N194" s="102" t="s">
        <v>691</v>
      </c>
      <c r="O194" s="106" t="s">
        <v>692</v>
      </c>
      <c r="P194" s="107" t="s">
        <v>693</v>
      </c>
      <c r="Q194" s="160">
        <f t="shared" si="6"/>
        <v>0</v>
      </c>
      <c r="R194" s="160">
        <f t="shared" si="7"/>
        <v>0</v>
      </c>
      <c r="T194" s="108"/>
    </row>
    <row r="195" spans="1:41" ht="15.75" customHeight="1">
      <c r="A195" s="115" t="s">
        <v>653</v>
      </c>
      <c r="B195" s="111">
        <f>('Pivot Table for Data Exchange'!$H$7)*100</f>
        <v>24.670927233994846</v>
      </c>
      <c r="C195" s="111">
        <f>('Pivot Table for Data Exchange'!$H$10)*100</f>
        <v>4.5105953582240161</v>
      </c>
      <c r="D195" s="112">
        <f>SUM(E195:G195)</f>
        <v>70.818477407781145</v>
      </c>
      <c r="E195" s="111">
        <f>('Pivot Table for Data Exchange'!$H$13)*100</f>
        <v>70.818477407781145</v>
      </c>
      <c r="F195" s="111">
        <f>('Pivot Table for Data Exchange'!$H$16)*100</f>
        <v>0</v>
      </c>
      <c r="G195" s="113">
        <f>('Pivot Table for Data Exchange'!$H$19)*100</f>
        <v>0</v>
      </c>
      <c r="H195" s="111">
        <f>('Pivot Table for Data Exchange'!$H$22)*100</f>
        <v>0</v>
      </c>
      <c r="I195" s="115" t="s">
        <v>653</v>
      </c>
      <c r="J195" s="111">
        <f>('Pivot Table for Data Exchange'!$H$25)*100</f>
        <v>0</v>
      </c>
      <c r="K195" s="111">
        <f>('Pivot Table for Data Exchange'!$H$28)*100</f>
        <v>0</v>
      </c>
      <c r="L195" s="112">
        <f>SUM(M195:O195)</f>
        <v>0</v>
      </c>
      <c r="M195" s="111">
        <f>('Pivot Table for Data Exchange'!$H$31)*100</f>
        <v>0</v>
      </c>
      <c r="N195" s="111">
        <f>('Pivot Table for Data Exchange'!$H$34)*100</f>
        <v>0</v>
      </c>
      <c r="O195" s="113">
        <f>('Pivot Table for Data Exchange'!$H$37)*100</f>
        <v>0</v>
      </c>
      <c r="P195" s="111">
        <f>('Pivot Table for Data Exchange'!$H$40)*100</f>
        <v>0</v>
      </c>
      <c r="Q195" s="160">
        <f t="shared" si="6"/>
        <v>100</v>
      </c>
      <c r="R195" s="160">
        <f t="shared" si="7"/>
        <v>0</v>
      </c>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row>
    <row r="196" spans="1:41" ht="15.75" customHeight="1">
      <c r="A196" s="118" t="s">
        <v>654</v>
      </c>
      <c r="B196" s="111">
        <f>('Pivot Table for Data Exchange'!$H$43)*100</f>
        <v>88.048728150250994</v>
      </c>
      <c r="C196" s="111">
        <f>('Pivot Table for Data Exchange'!$H$46)*100</f>
        <v>1.3648947659099944</v>
      </c>
      <c r="D196" s="112">
        <f>SUM(E196:G196)</f>
        <v>10.586377083839013</v>
      </c>
      <c r="E196" s="111">
        <f>('Pivot Table for Data Exchange'!$H$49)*100</f>
        <v>8.0556933348811519</v>
      </c>
      <c r="F196" s="111">
        <f>('Pivot Table for Data Exchange'!$H$52)*100</f>
        <v>2.5306837489578604</v>
      </c>
      <c r="G196" s="119">
        <f>('Pivot Table for Data Exchange'!$H$55)*100</f>
        <v>0</v>
      </c>
      <c r="H196" s="111">
        <f>('Pivot Table for Data Exchange'!$H$58)*100</f>
        <v>0</v>
      </c>
      <c r="I196" s="118" t="s">
        <v>654</v>
      </c>
      <c r="J196" s="111">
        <f>('Pivot Table for Data Exchange'!$H$61)*100</f>
        <v>80.44090056285178</v>
      </c>
      <c r="K196" s="111">
        <f>('Pivot Table for Data Exchange'!$H$64)*100</f>
        <v>0</v>
      </c>
      <c r="L196" s="112">
        <f>SUM(M196:O196)</f>
        <v>19.559099437148216</v>
      </c>
      <c r="M196" s="111">
        <f>('Pivot Table for Data Exchange'!$H$67)*100</f>
        <v>0</v>
      </c>
      <c r="N196" s="111">
        <f>('Pivot Table for Data Exchange'!$H$70)*100</f>
        <v>19.559099437148216</v>
      </c>
      <c r="O196" s="119">
        <f>('Pivot Table for Data Exchange'!$H$73)*100</f>
        <v>0</v>
      </c>
      <c r="P196" s="111">
        <f>('Pivot Table for Data Exchange'!$H$76)*100</f>
        <v>0</v>
      </c>
      <c r="Q196" s="160">
        <f t="shared" si="6"/>
        <v>100</v>
      </c>
      <c r="R196" s="160">
        <f t="shared" si="7"/>
        <v>100</v>
      </c>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row>
    <row r="197" spans="1:41" ht="15.75" customHeight="1">
      <c r="A197" s="118" t="s">
        <v>655</v>
      </c>
      <c r="B197" s="111">
        <f>('Pivot Table for Data Exchange'!$H$79)*100</f>
        <v>0</v>
      </c>
      <c r="C197" s="111">
        <f>('Pivot Table for Data Exchange'!$H$82)*100</f>
        <v>0</v>
      </c>
      <c r="D197" s="112">
        <f>SUM(E197:G197)</f>
        <v>0</v>
      </c>
      <c r="E197" s="111">
        <f>('Pivot Table for Data Exchange'!$H$85)*100</f>
        <v>0</v>
      </c>
      <c r="F197" s="111">
        <f>('Pivot Table for Data Exchange'!$H$88)*100</f>
        <v>0</v>
      </c>
      <c r="G197" s="119">
        <f>('Pivot Table for Data Exchange'!$H$91)*100</f>
        <v>0</v>
      </c>
      <c r="H197" s="111">
        <f>('Pivot Table for Data Exchange'!$H$94)*100</f>
        <v>0</v>
      </c>
      <c r="I197" s="118" t="s">
        <v>655</v>
      </c>
      <c r="J197" s="111">
        <f>('Pivot Table for Data Exchange'!$H$97)*100</f>
        <v>0</v>
      </c>
      <c r="K197" s="111">
        <f>('Pivot Table for Data Exchange'!$H$100)*100</f>
        <v>0</v>
      </c>
      <c r="L197" s="112">
        <f>SUM(M197:O197)</f>
        <v>0</v>
      </c>
      <c r="M197" s="111">
        <f>('Pivot Table for Data Exchange'!$H$103)*100</f>
        <v>0</v>
      </c>
      <c r="N197" s="111">
        <f>('Pivot Table for Data Exchange'!$H$106)*100</f>
        <v>0</v>
      </c>
      <c r="O197" s="119">
        <f>('Pivot Table for Data Exchange'!$H$109)*100</f>
        <v>0</v>
      </c>
      <c r="P197" s="111">
        <f>('Pivot Table for Data Exchange'!$H$112)*100</f>
        <v>0</v>
      </c>
      <c r="Q197" s="160">
        <f t="shared" si="6"/>
        <v>0</v>
      </c>
      <c r="R197" s="160">
        <f t="shared" si="7"/>
        <v>0</v>
      </c>
      <c r="S197" s="161"/>
      <c r="T197" s="167"/>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row>
    <row r="198" spans="1:41" ht="15.75" customHeight="1">
      <c r="A198" s="118" t="s">
        <v>695</v>
      </c>
      <c r="B198" s="111">
        <f>('Pivot Table for Data Exchange'!$H$115)*100</f>
        <v>100</v>
      </c>
      <c r="C198" s="111">
        <f>('Pivot Table for Data Exchange'!$H$118)*100</f>
        <v>0</v>
      </c>
      <c r="D198" s="112">
        <f>SUM(E198:G198)</f>
        <v>0</v>
      </c>
      <c r="E198" s="111">
        <f>('Pivot Table for Data Exchange'!$H$121)*100</f>
        <v>0</v>
      </c>
      <c r="F198" s="111">
        <f>('Pivot Table for Data Exchange'!$H$124)*100</f>
        <v>0</v>
      </c>
      <c r="G198" s="119">
        <f>('Pivot Table for Data Exchange'!$H$127)*100</f>
        <v>0</v>
      </c>
      <c r="H198" s="111">
        <f>('Pivot Table for Data Exchange'!$H$130)*100</f>
        <v>0</v>
      </c>
      <c r="I198" s="118" t="s">
        <v>695</v>
      </c>
      <c r="J198" s="111">
        <f>('Pivot Table for Data Exchange'!$H$133)*100</f>
        <v>0</v>
      </c>
      <c r="K198" s="111">
        <f>('Pivot Table for Data Exchange'!$H$136)*100</f>
        <v>0</v>
      </c>
      <c r="L198" s="112">
        <f>SUM(M198:O198)</f>
        <v>0</v>
      </c>
      <c r="M198" s="111">
        <f>('Pivot Table for Data Exchange'!$H$139)*100</f>
        <v>0</v>
      </c>
      <c r="N198" s="111">
        <f>('Pivot Table for Data Exchange'!$H$142)*100</f>
        <v>0</v>
      </c>
      <c r="O198" s="119">
        <f>('Pivot Table for Data Exchange'!$H$145)*100</f>
        <v>0</v>
      </c>
      <c r="P198" s="111">
        <f>('Pivot Table for Data Exchange'!$H$148)*100</f>
        <v>0</v>
      </c>
      <c r="Q198" s="160">
        <f t="shared" si="6"/>
        <v>100</v>
      </c>
      <c r="R198" s="160">
        <f t="shared" si="7"/>
        <v>0</v>
      </c>
      <c r="S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row>
    <row r="199" spans="1:41" ht="15.75" customHeight="1">
      <c r="A199" s="118"/>
      <c r="B199" s="111"/>
      <c r="C199" s="111"/>
      <c r="D199" s="112"/>
      <c r="E199" s="111"/>
      <c r="F199" s="111"/>
      <c r="G199" s="119"/>
      <c r="H199" s="111"/>
      <c r="I199" s="118"/>
      <c r="J199" s="111"/>
      <c r="K199" s="111"/>
      <c r="L199" s="112"/>
      <c r="M199" s="111"/>
      <c r="N199" s="111"/>
      <c r="O199" s="119"/>
      <c r="P199" s="111"/>
      <c r="Q199" s="160">
        <f t="shared" si="6"/>
        <v>0</v>
      </c>
      <c r="R199" s="160">
        <f t="shared" si="7"/>
        <v>0</v>
      </c>
      <c r="S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row>
    <row r="200" spans="1:41" ht="15.75" customHeight="1">
      <c r="A200" s="118" t="s">
        <v>657</v>
      </c>
      <c r="B200" s="111">
        <f>('Pivot Table for Data Exchange'!$H$151)*100</f>
        <v>0</v>
      </c>
      <c r="C200" s="111">
        <f>('Pivot Table for Data Exchange'!$H$154)*100</f>
        <v>0</v>
      </c>
      <c r="D200" s="112">
        <f>SUM(E200:G200)</f>
        <v>0</v>
      </c>
      <c r="E200" s="111">
        <f>('Pivot Table for Data Exchange'!$H$157)*100</f>
        <v>0</v>
      </c>
      <c r="F200" s="111">
        <f>('Pivot Table for Data Exchange'!$H$160)*100</f>
        <v>0</v>
      </c>
      <c r="G200" s="119">
        <f>('Pivot Table for Data Exchange'!$H$163)*100</f>
        <v>0</v>
      </c>
      <c r="H200" s="111">
        <f>('Pivot Table for Data Exchange'!$H$166)*100</f>
        <v>0</v>
      </c>
      <c r="I200" s="118" t="s">
        <v>657</v>
      </c>
      <c r="J200" s="111">
        <f>('Pivot Table for Data Exchange'!$H$169)*100</f>
        <v>0</v>
      </c>
      <c r="K200" s="111">
        <f>('Pivot Table for Data Exchange'!$H$172)*100</f>
        <v>0</v>
      </c>
      <c r="L200" s="112">
        <f>SUM(M200:O200)</f>
        <v>0</v>
      </c>
      <c r="M200" s="111">
        <f>('Pivot Table for Data Exchange'!$H$175)*100</f>
        <v>0</v>
      </c>
      <c r="N200" s="111">
        <f>('Pivot Table for Data Exchange'!$H$178)*100</f>
        <v>0</v>
      </c>
      <c r="O200" s="119">
        <f>('Pivot Table for Data Exchange'!$H$181)*100</f>
        <v>0</v>
      </c>
      <c r="P200" s="111">
        <f>('Pivot Table for Data Exchange'!$H$184)*100</f>
        <v>0</v>
      </c>
      <c r="Q200" s="160">
        <f t="shared" si="6"/>
        <v>0</v>
      </c>
      <c r="R200" s="160">
        <f t="shared" si="7"/>
        <v>0</v>
      </c>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row>
    <row r="201" spans="1:41" ht="15.75" customHeight="1">
      <c r="A201" s="118" t="s">
        <v>658</v>
      </c>
      <c r="B201" s="111">
        <f>('Pivot Table for Data Exchange'!$H$187)*100</f>
        <v>0</v>
      </c>
      <c r="C201" s="111">
        <f>('Pivot Table for Data Exchange'!$H$190)*100</f>
        <v>0</v>
      </c>
      <c r="D201" s="112">
        <f>SUM(E201:G201)</f>
        <v>0</v>
      </c>
      <c r="E201" s="111">
        <f>('Pivot Table for Data Exchange'!$H$193)*100</f>
        <v>0</v>
      </c>
      <c r="F201" s="111">
        <f>('Pivot Table for Data Exchange'!$H$196)*100</f>
        <v>0</v>
      </c>
      <c r="G201" s="119">
        <f>('Pivot Table for Data Exchange'!$H$199)*100</f>
        <v>0</v>
      </c>
      <c r="H201" s="111">
        <f>('Pivot Table for Data Exchange'!$H$202)*100</f>
        <v>0</v>
      </c>
      <c r="I201" s="118" t="s">
        <v>658</v>
      </c>
      <c r="J201" s="111">
        <f>('Pivot Table for Data Exchange'!$H$205)*100</f>
        <v>0</v>
      </c>
      <c r="K201" s="111">
        <f>('Pivot Table for Data Exchange'!$H$208)*100</f>
        <v>0</v>
      </c>
      <c r="L201" s="112">
        <f>SUM(M201:O201)</f>
        <v>0</v>
      </c>
      <c r="M201" s="111">
        <f>('Pivot Table for Data Exchange'!$H$211)*100</f>
        <v>0</v>
      </c>
      <c r="N201" s="111">
        <f>('Pivot Table for Data Exchange'!$H$214)*100</f>
        <v>0</v>
      </c>
      <c r="O201" s="119">
        <f>('Pivot Table for Data Exchange'!$H$217)*100</f>
        <v>0</v>
      </c>
      <c r="P201" s="111">
        <f>('Pivot Table for Data Exchange'!$H$220)*100</f>
        <v>0</v>
      </c>
      <c r="Q201" s="160">
        <f t="shared" si="6"/>
        <v>0</v>
      </c>
      <c r="R201" s="160">
        <f t="shared" si="7"/>
        <v>0</v>
      </c>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row>
    <row r="202" spans="1:41" ht="15.75" customHeight="1">
      <c r="A202" s="118" t="s">
        <v>659</v>
      </c>
      <c r="B202" s="111">
        <f>('Pivot Table for Data Exchange'!$H$223)*100</f>
        <v>0</v>
      </c>
      <c r="C202" s="111">
        <f>('Pivot Table for Data Exchange'!$H$226)*100</f>
        <v>0</v>
      </c>
      <c r="D202" s="112">
        <f>SUM(E202:G202)</f>
        <v>0</v>
      </c>
      <c r="E202" s="111">
        <f>('Pivot Table for Data Exchange'!$H$229)*100</f>
        <v>0</v>
      </c>
      <c r="F202" s="111">
        <f>('Pivot Table for Data Exchange'!$H$232)*100</f>
        <v>0</v>
      </c>
      <c r="G202" s="119">
        <f>('Pivot Table for Data Exchange'!$H$235)*100</f>
        <v>0</v>
      </c>
      <c r="H202" s="111">
        <f>('Pivot Table for Data Exchange'!$H$238)*100</f>
        <v>0</v>
      </c>
      <c r="I202" s="118" t="s">
        <v>659</v>
      </c>
      <c r="J202" s="111">
        <f>('Pivot Table for Data Exchange'!$H$241)*100</f>
        <v>0</v>
      </c>
      <c r="K202" s="111">
        <f>('Pivot Table for Data Exchange'!$H$244)*100</f>
        <v>0</v>
      </c>
      <c r="L202" s="112">
        <f>SUM(M202:O202)</f>
        <v>0</v>
      </c>
      <c r="M202" s="111">
        <f>('Pivot Table for Data Exchange'!$H$247)*100</f>
        <v>0</v>
      </c>
      <c r="N202" s="111">
        <f>('Pivot Table for Data Exchange'!$H$250)*100</f>
        <v>0</v>
      </c>
      <c r="O202" s="119">
        <f>('Pivot Table for Data Exchange'!$H$253)*100</f>
        <v>0</v>
      </c>
      <c r="P202" s="111">
        <f>('Pivot Table for Data Exchange'!$H$256)*100</f>
        <v>0</v>
      </c>
      <c r="Q202" s="160">
        <f t="shared" si="6"/>
        <v>0</v>
      </c>
      <c r="R202" s="160">
        <f t="shared" si="7"/>
        <v>0</v>
      </c>
      <c r="S202" s="161"/>
      <c r="T202" s="167"/>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row>
    <row r="203" spans="1:41" ht="15.75" customHeight="1">
      <c r="A203" s="118" t="s">
        <v>700</v>
      </c>
      <c r="B203" s="111">
        <f>('Pivot Table for Data Exchange'!$H$259)*100</f>
        <v>100</v>
      </c>
      <c r="C203" s="111">
        <f>('Pivot Table for Data Exchange'!$H$262)*100</f>
        <v>0</v>
      </c>
      <c r="D203" s="112">
        <f>SUM(E203:G203)</f>
        <v>0</v>
      </c>
      <c r="E203" s="111">
        <f>('Pivot Table for Data Exchange'!$H$265)*100</f>
        <v>0</v>
      </c>
      <c r="F203" s="111">
        <f>('Pivot Table for Data Exchange'!$H$268)*100</f>
        <v>0</v>
      </c>
      <c r="G203" s="119">
        <f>('Pivot Table for Data Exchange'!$H$271)*100</f>
        <v>0</v>
      </c>
      <c r="H203" s="111">
        <f>('Pivot Table for Data Exchange'!$H$274)*100</f>
        <v>0</v>
      </c>
      <c r="I203" s="118" t="s">
        <v>700</v>
      </c>
      <c r="J203" s="111">
        <f>('Pivot Table for Data Exchange'!$H$277)*100</f>
        <v>100</v>
      </c>
      <c r="K203" s="111">
        <f>('Pivot Table for Data Exchange'!$H$280)*100</f>
        <v>0</v>
      </c>
      <c r="L203" s="112">
        <f>SUM(M203:O203)</f>
        <v>0</v>
      </c>
      <c r="M203" s="111">
        <f>('Pivot Table for Data Exchange'!$H$283)*100</f>
        <v>0</v>
      </c>
      <c r="N203" s="111">
        <f>('Pivot Table for Data Exchange'!$H$286)*100</f>
        <v>0</v>
      </c>
      <c r="O203" s="119">
        <f>('Pivot Table for Data Exchange'!$H$289)*100</f>
        <v>0</v>
      </c>
      <c r="P203" s="111">
        <f>('Pivot Table for Data Exchange'!$H$292)*100</f>
        <v>0</v>
      </c>
      <c r="Q203" s="160">
        <f t="shared" ref="Q203:Q266" si="8">SUM(B203,C203,D203,H203)</f>
        <v>100</v>
      </c>
      <c r="R203" s="160">
        <f t="shared" ref="R203:R217" si="9">SUM(J203,K203,L203,P203)</f>
        <v>100</v>
      </c>
      <c r="S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row>
    <row r="204" spans="1:41" ht="11.25" customHeight="1">
      <c r="A204" s="118"/>
      <c r="B204" s="111"/>
      <c r="C204" s="111"/>
      <c r="D204" s="112"/>
      <c r="E204" s="111"/>
      <c r="F204" s="111"/>
      <c r="G204" s="119"/>
      <c r="H204" s="111"/>
      <c r="I204" s="118"/>
      <c r="J204" s="111"/>
      <c r="K204" s="111"/>
      <c r="L204" s="112"/>
      <c r="M204" s="111"/>
      <c r="N204" s="111"/>
      <c r="O204" s="119"/>
      <c r="P204" s="111"/>
      <c r="Q204" s="160">
        <f t="shared" si="8"/>
        <v>0</v>
      </c>
      <c r="R204" s="160">
        <f t="shared" si="9"/>
        <v>0</v>
      </c>
      <c r="S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row>
    <row r="205" spans="1:41" ht="15.75" customHeight="1">
      <c r="A205" s="118" t="s">
        <v>661</v>
      </c>
      <c r="B205" s="111">
        <f>('Pivot Table for Data Exchange'!$H$295)*100</f>
        <v>0</v>
      </c>
      <c r="C205" s="111">
        <f>('Pivot Table for Data Exchange'!$H$298)*100</f>
        <v>0</v>
      </c>
      <c r="D205" s="112">
        <f>SUM(E205:G205)</f>
        <v>0</v>
      </c>
      <c r="E205" s="111">
        <f>('Pivot Table for Data Exchange'!$H$301)*100</f>
        <v>0</v>
      </c>
      <c r="F205" s="111">
        <f>('Pivot Table for Data Exchange'!$H$304)*100</f>
        <v>0</v>
      </c>
      <c r="G205" s="119">
        <f>('Pivot Table for Data Exchange'!$H$307)*100</f>
        <v>0</v>
      </c>
      <c r="H205" s="111">
        <f>('Pivot Table for Data Exchange'!$H$310)*100</f>
        <v>0</v>
      </c>
      <c r="I205" s="118" t="s">
        <v>661</v>
      </c>
      <c r="J205" s="111">
        <f>('Pivot Table for Data Exchange'!$H$313)*100</f>
        <v>0</v>
      </c>
      <c r="K205" s="111">
        <f>('Pivot Table for Data Exchange'!$H$316)*100</f>
        <v>0</v>
      </c>
      <c r="L205" s="112">
        <f>SUM(M205:O205)</f>
        <v>0</v>
      </c>
      <c r="M205" s="111">
        <f>('Pivot Table for Data Exchange'!$H$319)*100</f>
        <v>0</v>
      </c>
      <c r="N205" s="111">
        <f>('Pivot Table for Data Exchange'!$H$322)*100</f>
        <v>0</v>
      </c>
      <c r="O205" s="119">
        <f>('Pivot Table for Data Exchange'!$H$325)*100</f>
        <v>0</v>
      </c>
      <c r="P205" s="111">
        <f>('Pivot Table for Data Exchange'!$H$328)*100</f>
        <v>0</v>
      </c>
      <c r="Q205" s="160">
        <f t="shared" si="8"/>
        <v>0</v>
      </c>
      <c r="R205" s="160">
        <f t="shared" si="9"/>
        <v>0</v>
      </c>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row>
    <row r="206" spans="1:41" ht="15.75" customHeight="1">
      <c r="A206" s="118" t="s">
        <v>662</v>
      </c>
      <c r="B206" s="111">
        <f>('Pivot Table for Data Exchange'!$H$331)*100</f>
        <v>91.018981216298954</v>
      </c>
      <c r="C206" s="111">
        <f>('Pivot Table for Data Exchange'!$H$334)*100</f>
        <v>1.5514823520116929</v>
      </c>
      <c r="D206" s="112">
        <f>SUM(E206:G206)</f>
        <v>7.4295364316893489</v>
      </c>
      <c r="E206" s="111">
        <f>('Pivot Table for Data Exchange'!$H$337)*100</f>
        <v>7.4295364316893489</v>
      </c>
      <c r="F206" s="120">
        <f>('Pivot Table for Data Exchange'!$H$340)*100</f>
        <v>0</v>
      </c>
      <c r="G206" s="119">
        <f>('Pivot Table for Data Exchange'!$H$343)*100</f>
        <v>0</v>
      </c>
      <c r="H206" s="111">
        <f>('Pivot Table for Data Exchange'!$H$346)*100</f>
        <v>0</v>
      </c>
      <c r="I206" s="118" t="s">
        <v>662</v>
      </c>
      <c r="J206" s="111">
        <f>('Pivot Table for Data Exchange'!$H$349)*100</f>
        <v>67.610269914417373</v>
      </c>
      <c r="K206" s="111">
        <f>('Pivot Table for Data Exchange'!$H$352)*100</f>
        <v>8.3607636603028315</v>
      </c>
      <c r="L206" s="112">
        <f>SUM(M206:O206)</f>
        <v>24.028966425279787</v>
      </c>
      <c r="M206" s="111">
        <f>('Pivot Table for Data Exchange'!$H$355)*100</f>
        <v>24.028966425279787</v>
      </c>
      <c r="N206" s="111">
        <f>('Pivot Table for Data Exchange'!$H$358)*100</f>
        <v>0</v>
      </c>
      <c r="O206" s="119">
        <f>('Pivot Table for Data Exchange'!$H$361)*100</f>
        <v>0</v>
      </c>
      <c r="P206" s="111">
        <f>('Pivot Table for Data Exchange'!$H$364)*100</f>
        <v>0</v>
      </c>
      <c r="Q206" s="160">
        <f t="shared" si="8"/>
        <v>99.999999999999986</v>
      </c>
      <c r="R206" s="160">
        <f t="shared" si="9"/>
        <v>100</v>
      </c>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row>
    <row r="207" spans="1:41" ht="15.75" customHeight="1">
      <c r="A207" s="118" t="s">
        <v>663</v>
      </c>
      <c r="B207" s="111">
        <f>('Pivot Table for Data Exchange'!$H$367)*100</f>
        <v>77.431116635591465</v>
      </c>
      <c r="C207" s="111">
        <f>('Pivot Table for Data Exchange'!$H$370)*100</f>
        <v>1.5703335405013465</v>
      </c>
      <c r="D207" s="112">
        <f>SUM(E207:G207)</f>
        <v>20.99854982390719</v>
      </c>
      <c r="E207" s="111">
        <f>('Pivot Table for Data Exchange'!$H$373)*100</f>
        <v>19.100298913847702</v>
      </c>
      <c r="F207" s="111">
        <f>('Pivot Table for Data Exchange'!$H$376)*100</f>
        <v>1.8982509100594867</v>
      </c>
      <c r="G207" s="139">
        <f>('Pivot Table for Data Exchange'!$H$379)*100</f>
        <v>0</v>
      </c>
      <c r="H207" s="111">
        <f>('Pivot Table for Data Exchange'!$H$382)*100</f>
        <v>0</v>
      </c>
      <c r="I207" s="118" t="s">
        <v>663</v>
      </c>
      <c r="J207" s="111">
        <f>('Pivot Table for Data Exchange'!$H$385)*100</f>
        <v>0</v>
      </c>
      <c r="K207" s="111">
        <f>('Pivot Table for Data Exchange'!$H$388)*100</f>
        <v>0</v>
      </c>
      <c r="L207" s="112">
        <f>SUM(M207:O207)</f>
        <v>0</v>
      </c>
      <c r="M207" s="111">
        <f>('Pivot Table for Data Exchange'!$H$391)*100</f>
        <v>0</v>
      </c>
      <c r="N207" s="111">
        <f>('Pivot Table for Data Exchange'!$H$394)*100</f>
        <v>0</v>
      </c>
      <c r="O207" s="119">
        <f>('Pivot Table for Data Exchange'!$H$397)*100</f>
        <v>0</v>
      </c>
      <c r="P207" s="111">
        <f>('Pivot Table for Data Exchange'!$H$400)*100</f>
        <v>0</v>
      </c>
      <c r="Q207" s="160">
        <f t="shared" si="8"/>
        <v>100</v>
      </c>
      <c r="R207" s="160">
        <f t="shared" si="9"/>
        <v>0</v>
      </c>
      <c r="S207" s="161"/>
      <c r="T207" s="167"/>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row>
    <row r="208" spans="1:41" ht="15.75" customHeight="1">
      <c r="A208" s="118" t="s">
        <v>664</v>
      </c>
      <c r="B208" s="111">
        <f>('Pivot Table for Data Exchange'!$H$403)*100</f>
        <v>87.729511743618744</v>
      </c>
      <c r="C208" s="111">
        <f>('Pivot Table for Data Exchange'!$H$406)*100</f>
        <v>6.3887940342499743</v>
      </c>
      <c r="D208" s="112">
        <f>SUM(E208:G208)</f>
        <v>5.8816942221312845</v>
      </c>
      <c r="E208" s="111">
        <f>('Pivot Table for Data Exchange'!$H$409)*100</f>
        <v>5.7934909287474996</v>
      </c>
      <c r="F208" s="111">
        <f>('Pivot Table for Data Exchange'!$H$412)*100</f>
        <v>4.1751402197340352E-2</v>
      </c>
      <c r="G208" s="119">
        <f>('Pivot Table for Data Exchange'!$H$415)*100</f>
        <v>4.6451891186444896E-2</v>
      </c>
      <c r="H208" s="111">
        <f>('Pivot Table for Data Exchange'!$H$418)*100</f>
        <v>0</v>
      </c>
      <c r="I208" s="118" t="s">
        <v>664</v>
      </c>
      <c r="J208" s="111">
        <f>('Pivot Table for Data Exchange'!$H$421)*100</f>
        <v>48.282920172845124</v>
      </c>
      <c r="K208" s="111">
        <f>('Pivot Table for Data Exchange'!$H$424)*100</f>
        <v>18.558107800773254</v>
      </c>
      <c r="L208" s="112">
        <f>SUM(M208:O208)</f>
        <v>33.158972026381626</v>
      </c>
      <c r="M208" s="111">
        <f>('Pivot Table for Data Exchange'!$H$427)*100</f>
        <v>31.726176938821926</v>
      </c>
      <c r="N208" s="111">
        <f>('Pivot Table for Data Exchange'!$H$430)*100</f>
        <v>0.20468501250852852</v>
      </c>
      <c r="O208" s="119">
        <f>('Pivot Table for Data Exchange'!$H$433)*100</f>
        <v>1.2281100750511713</v>
      </c>
      <c r="P208" s="111">
        <f>('Pivot Table for Data Exchange'!$H$436)*100</f>
        <v>0</v>
      </c>
      <c r="Q208" s="160">
        <f t="shared" si="8"/>
        <v>100</v>
      </c>
      <c r="R208" s="160">
        <f t="shared" si="9"/>
        <v>100</v>
      </c>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row>
    <row r="209" spans="1:41" ht="11.25" customHeight="1">
      <c r="A209" s="118"/>
      <c r="B209" s="111"/>
      <c r="C209" s="111"/>
      <c r="D209" s="112"/>
      <c r="E209" s="111"/>
      <c r="F209" s="111"/>
      <c r="G209" s="119"/>
      <c r="H209" s="111"/>
      <c r="I209" s="118"/>
      <c r="J209" s="111"/>
      <c r="K209" s="111"/>
      <c r="L209" s="112"/>
      <c r="M209" s="111"/>
      <c r="N209" s="111"/>
      <c r="O209" s="119"/>
      <c r="P209" s="111"/>
      <c r="Q209" s="160">
        <f t="shared" si="8"/>
        <v>0</v>
      </c>
      <c r="R209" s="160">
        <f t="shared" si="9"/>
        <v>0</v>
      </c>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row>
    <row r="210" spans="1:41" ht="15.75" customHeight="1">
      <c r="A210" s="118" t="s">
        <v>665</v>
      </c>
      <c r="B210" s="111">
        <f>('Pivot Table for Data Exchange'!$H$439)*100</f>
        <v>0</v>
      </c>
      <c r="C210" s="111">
        <f>('Pivot Table for Data Exchange'!$H$442)*100</f>
        <v>0</v>
      </c>
      <c r="D210" s="112">
        <f>SUM(E210:G210)</f>
        <v>0</v>
      </c>
      <c r="E210" s="111">
        <f>('Pivot Table for Data Exchange'!$H$445)*100</f>
        <v>0</v>
      </c>
      <c r="F210" s="111">
        <f>('Pivot Table for Data Exchange'!$H$448)*100</f>
        <v>0</v>
      </c>
      <c r="G210" s="119">
        <f>('Pivot Table for Data Exchange'!$H$451)*100</f>
        <v>0</v>
      </c>
      <c r="H210" s="111">
        <f>('Pivot Table for Data Exchange'!$H$454)*100</f>
        <v>0</v>
      </c>
      <c r="I210" s="118" t="s">
        <v>665</v>
      </c>
      <c r="J210" s="111">
        <f>('Pivot Table for Data Exchange'!$H$457)*100</f>
        <v>0</v>
      </c>
      <c r="K210" s="111">
        <f>('Pivot Table for Data Exchange'!$H$460)*100</f>
        <v>0</v>
      </c>
      <c r="L210" s="112">
        <f>SUM(M210:O210)</f>
        <v>0</v>
      </c>
      <c r="M210" s="111">
        <f>('Pivot Table for Data Exchange'!$H$463)*100</f>
        <v>0</v>
      </c>
      <c r="N210" s="111">
        <f>('Pivot Table for Data Exchange'!$H$466)*100</f>
        <v>0</v>
      </c>
      <c r="O210" s="119">
        <f>('Pivot Table for Data Exchange'!$H$469)*100</f>
        <v>0</v>
      </c>
      <c r="P210" s="111">
        <f>('Pivot Table for Data Exchange'!$H$472)*100</f>
        <v>0</v>
      </c>
      <c r="Q210" s="160">
        <f t="shared" si="8"/>
        <v>0</v>
      </c>
      <c r="R210" s="160">
        <f t="shared" si="9"/>
        <v>0</v>
      </c>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row>
    <row r="211" spans="1:41" ht="15.75" customHeight="1">
      <c r="A211" s="118" t="s">
        <v>666</v>
      </c>
      <c r="B211" s="111">
        <f>('Pivot Table for Data Exchange'!$H$475)*100</f>
        <v>99.987874133505798</v>
      </c>
      <c r="C211" s="111">
        <f>('Pivot Table for Data Exchange'!$H$478)*100</f>
        <v>0</v>
      </c>
      <c r="D211" s="112">
        <f>SUM(E211:G211)</f>
        <v>1.2125866494209899E-2</v>
      </c>
      <c r="E211" s="111">
        <f>('Pivot Table for Data Exchange'!$H$481)*100</f>
        <v>1.2125866494209899E-2</v>
      </c>
      <c r="F211" s="111">
        <f>('Pivot Table for Data Exchange'!$H$484)*100</f>
        <v>0</v>
      </c>
      <c r="G211" s="119">
        <f>('Pivot Table for Data Exchange'!$H$487)*100</f>
        <v>0</v>
      </c>
      <c r="H211" s="111">
        <f>('Pivot Table for Data Exchange'!$H$490)*100</f>
        <v>0</v>
      </c>
      <c r="I211" s="118" t="s">
        <v>666</v>
      </c>
      <c r="J211" s="111">
        <f>('Pivot Table for Data Exchange'!$H$493)*100</f>
        <v>92.46987951807229</v>
      </c>
      <c r="K211" s="111">
        <f>('Pivot Table for Data Exchange'!$H$496)*100</f>
        <v>1.2048192771084338</v>
      </c>
      <c r="L211" s="112">
        <f>SUM(M211:O211)</f>
        <v>6.3253012048192776</v>
      </c>
      <c r="M211" s="111">
        <f>('Pivot Table for Data Exchange'!$H$499)*100</f>
        <v>4.2168674698795181</v>
      </c>
      <c r="N211" s="111">
        <f>('Pivot Table for Data Exchange'!$H$502)*100</f>
        <v>0</v>
      </c>
      <c r="O211" s="119">
        <f>('Pivot Table for Data Exchange'!$H$505)*100</f>
        <v>2.1084337349397591</v>
      </c>
      <c r="P211" s="111">
        <f>('Pivot Table for Data Exchange'!$H$508)*100</f>
        <v>0</v>
      </c>
      <c r="Q211" s="160">
        <f t="shared" si="8"/>
        <v>100.00000000000001</v>
      </c>
      <c r="R211" s="160">
        <f t="shared" si="9"/>
        <v>100</v>
      </c>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row>
    <row r="212" spans="1:41" ht="15.75" customHeight="1">
      <c r="A212" s="118" t="s">
        <v>667</v>
      </c>
      <c r="B212" s="111">
        <f>('Pivot Table for Data Exchange'!$H$511)*100</f>
        <v>95.030607433769376</v>
      </c>
      <c r="C212" s="111">
        <f>('Pivot Table for Data Exchange'!$H$514)*100</f>
        <v>0.98440924595040857</v>
      </c>
      <c r="D212" s="112">
        <f>SUM(E212:G212)</f>
        <v>3.984983320280211</v>
      </c>
      <c r="E212" s="111">
        <f>('Pivot Table for Data Exchange'!$H$517)*100</f>
        <v>3.984983320280211</v>
      </c>
      <c r="F212" s="111">
        <f>('Pivot Table for Data Exchange'!$H$520)*100</f>
        <v>0</v>
      </c>
      <c r="G212" s="119">
        <f>('Pivot Table for Data Exchange'!$H$523)*100</f>
        <v>0</v>
      </c>
      <c r="H212" s="111">
        <f>('Pivot Table for Data Exchange'!$H$526)*100</f>
        <v>0</v>
      </c>
      <c r="I212" s="118" t="s">
        <v>667</v>
      </c>
      <c r="J212" s="111">
        <f>('Pivot Table for Data Exchange'!$H$529)*100</f>
        <v>0</v>
      </c>
      <c r="K212" s="111">
        <f>('Pivot Table for Data Exchange'!$H$532)*100</f>
        <v>0</v>
      </c>
      <c r="L212" s="112">
        <f>SUM(M212:O212)</f>
        <v>0</v>
      </c>
      <c r="M212" s="111">
        <f>('Pivot Table for Data Exchange'!$H$535)*100</f>
        <v>0</v>
      </c>
      <c r="N212" s="111">
        <f>('Pivot Table for Data Exchange'!$H$538)*100</f>
        <v>0</v>
      </c>
      <c r="O212" s="119">
        <f>('Pivot Table for Data Exchange'!$H$541)*100</f>
        <v>0</v>
      </c>
      <c r="P212" s="111">
        <f>('Pivot Table for Data Exchange'!$H$544)*100</f>
        <v>0</v>
      </c>
      <c r="Q212" s="160">
        <f t="shared" si="8"/>
        <v>99.999999999999986</v>
      </c>
      <c r="R212" s="160">
        <f t="shared" si="9"/>
        <v>0</v>
      </c>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row>
    <row r="213" spans="1:41" ht="15.75" customHeight="1">
      <c r="A213" s="91" t="s">
        <v>668</v>
      </c>
      <c r="B213" s="122">
        <f>('Pivot Table for Data Exchange'!$H$547)*100</f>
        <v>81.962447266606915</v>
      </c>
      <c r="C213" s="122">
        <f>('Pivot Table for Data Exchange'!$H$550)*100</f>
        <v>7.1039804148724555</v>
      </c>
      <c r="D213" s="123">
        <f>SUM(E213:G213)</f>
        <v>10.933572318520623</v>
      </c>
      <c r="E213" s="122">
        <f>('Pivot Table for Data Exchange'!$H$553)*100</f>
        <v>10.028634505672256</v>
      </c>
      <c r="F213" s="122">
        <f>('Pivot Table for Data Exchange'!$H$556)*100</f>
        <v>0.83444446873155698</v>
      </c>
      <c r="G213" s="140">
        <f>('Pivot Table for Data Exchange'!$H$559)*100</f>
        <v>7.0493344116811296E-2</v>
      </c>
      <c r="H213" s="122">
        <f>('Pivot Table for Data Exchange'!$H$562)*100</f>
        <v>0</v>
      </c>
      <c r="I213" s="91" t="s">
        <v>668</v>
      </c>
      <c r="J213" s="122">
        <f>('Pivot Table for Data Exchange'!$H$565)*100</f>
        <v>20.368432070337033</v>
      </c>
      <c r="K213" s="122">
        <f>('Pivot Table for Data Exchange'!$H$568)*100</f>
        <v>29.579233828762824</v>
      </c>
      <c r="L213" s="123">
        <f>SUM(M213:O213)</f>
        <v>50.05233410090014</v>
      </c>
      <c r="M213" s="122">
        <f>('Pivot Table for Data Exchange'!$H$571)*100</f>
        <v>50.05233410090014</v>
      </c>
      <c r="N213" s="122">
        <f>('Pivot Table for Data Exchange'!$H$574)*100</f>
        <v>0</v>
      </c>
      <c r="O213" s="124">
        <f>('Pivot Table for Data Exchange'!$H$577)*100</f>
        <v>0</v>
      </c>
      <c r="P213" s="122">
        <f>('Pivot Table for Data Exchange'!$H$580)*100</f>
        <v>0</v>
      </c>
      <c r="Q213" s="160">
        <f t="shared" si="8"/>
        <v>99.999999999999986</v>
      </c>
      <c r="R213" s="160">
        <f t="shared" si="9"/>
        <v>100</v>
      </c>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row>
    <row r="214" spans="1:41" s="166" customFormat="1" ht="18" customHeight="1">
      <c r="A214" s="58" t="s">
        <v>697</v>
      </c>
      <c r="B214" s="126"/>
      <c r="C214" s="126"/>
      <c r="D214" s="127"/>
      <c r="E214" s="126"/>
      <c r="F214" s="127"/>
      <c r="G214" s="127"/>
      <c r="H214" s="126"/>
      <c r="I214" s="58" t="s">
        <v>697</v>
      </c>
      <c r="J214" s="126"/>
      <c r="K214" s="126"/>
      <c r="L214" s="127"/>
      <c r="M214" s="126"/>
      <c r="N214" s="127"/>
      <c r="O214" s="127"/>
      <c r="P214" s="126"/>
      <c r="Q214" s="160">
        <f t="shared" si="8"/>
        <v>0</v>
      </c>
      <c r="R214" s="160">
        <f t="shared" si="9"/>
        <v>0</v>
      </c>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row>
    <row r="215" spans="1:41" s="166" customFormat="1" ht="26.25" customHeight="1">
      <c r="A215" s="649" t="s">
        <v>698</v>
      </c>
      <c r="B215" s="650"/>
      <c r="C215" s="650"/>
      <c r="D215" s="650"/>
      <c r="E215" s="650"/>
      <c r="F215" s="650"/>
      <c r="G215" s="650"/>
      <c r="H215" s="650"/>
      <c r="I215" s="649" t="s">
        <v>698</v>
      </c>
      <c r="J215" s="650"/>
      <c r="K215" s="650"/>
      <c r="L215" s="650"/>
      <c r="M215" s="650"/>
      <c r="N215" s="650"/>
      <c r="O215" s="650"/>
      <c r="P215" s="650"/>
      <c r="Q215" s="160">
        <f t="shared" si="8"/>
        <v>0</v>
      </c>
      <c r="R215" s="160">
        <f t="shared" si="9"/>
        <v>0</v>
      </c>
    </row>
    <row r="216" spans="1:41" s="166" customFormat="1" ht="10.5" customHeight="1">
      <c r="A216" s="137"/>
      <c r="B216" s="176"/>
      <c r="C216" s="176"/>
      <c r="D216" s="176"/>
      <c r="E216" s="176"/>
      <c r="F216" s="176"/>
      <c r="G216" s="177"/>
      <c r="H216" s="177"/>
      <c r="I216" s="137"/>
      <c r="J216" s="176"/>
      <c r="K216" s="176"/>
      <c r="L216" s="176"/>
      <c r="M216" s="176"/>
      <c r="N216" s="176"/>
      <c r="O216" s="176"/>
      <c r="P216" s="177"/>
      <c r="Q216" s="160"/>
      <c r="R216" s="160"/>
    </row>
    <row r="217" spans="1:41" s="166" customFormat="1">
      <c r="A217" s="60"/>
      <c r="B217" s="60"/>
      <c r="C217" s="60"/>
      <c r="D217" s="60"/>
      <c r="E217" s="60"/>
      <c r="F217" s="60"/>
      <c r="G217" s="60"/>
      <c r="H217" s="64" t="s">
        <v>1034</v>
      </c>
      <c r="I217" s="60"/>
      <c r="J217" s="60"/>
      <c r="K217" s="60"/>
      <c r="L217" s="60"/>
      <c r="M217" s="60"/>
      <c r="N217" s="60"/>
      <c r="O217" s="60"/>
      <c r="P217" s="64" t="s">
        <v>1034</v>
      </c>
      <c r="Q217" s="160">
        <f t="shared" si="8"/>
        <v>0</v>
      </c>
      <c r="R217" s="160">
        <f t="shared" si="9"/>
        <v>0</v>
      </c>
    </row>
    <row r="218" spans="1:41" ht="18">
      <c r="A218" s="31" t="s">
        <v>1018</v>
      </c>
      <c r="B218" s="86"/>
      <c r="C218" s="86"/>
      <c r="D218" s="86"/>
      <c r="E218" s="86"/>
      <c r="F218" s="86"/>
      <c r="G218" s="86"/>
      <c r="H218" s="87"/>
      <c r="I218" s="118"/>
      <c r="J218" s="118"/>
      <c r="K218" s="118"/>
      <c r="L218" s="118"/>
      <c r="M218" s="118"/>
      <c r="N218" s="118"/>
      <c r="O218" s="118"/>
      <c r="P218" s="118"/>
      <c r="Q218" s="160">
        <f t="shared" si="8"/>
        <v>0</v>
      </c>
    </row>
    <row r="219" spans="1:41">
      <c r="A219" s="37"/>
      <c r="B219" s="38"/>
      <c r="C219" s="38"/>
      <c r="D219" s="38"/>
      <c r="E219" s="38"/>
      <c r="F219" s="38"/>
      <c r="G219" s="38"/>
      <c r="H219" s="88"/>
      <c r="I219" s="118"/>
      <c r="J219" s="118"/>
      <c r="K219" s="118"/>
      <c r="L219" s="118"/>
      <c r="M219" s="118"/>
      <c r="N219" s="118"/>
      <c r="O219" s="118"/>
      <c r="P219" s="118"/>
      <c r="Q219" s="160">
        <f t="shared" si="8"/>
        <v>0</v>
      </c>
    </row>
    <row r="220" spans="1:41" ht="15.75">
      <c r="A220" s="89" t="s">
        <v>683</v>
      </c>
      <c r="B220" s="38"/>
      <c r="C220" s="38"/>
      <c r="D220" s="38"/>
      <c r="E220" s="38"/>
      <c r="F220" s="38"/>
      <c r="G220" s="38"/>
      <c r="H220" s="88"/>
      <c r="I220" s="141"/>
      <c r="J220" s="118"/>
      <c r="K220" s="118"/>
      <c r="L220" s="88"/>
      <c r="M220" s="118"/>
      <c r="N220" s="118"/>
      <c r="O220" s="118"/>
      <c r="P220" s="118"/>
      <c r="Q220" s="160">
        <f t="shared" si="8"/>
        <v>0</v>
      </c>
    </row>
    <row r="221" spans="1:41" ht="15.75">
      <c r="A221" s="89" t="s">
        <v>981</v>
      </c>
      <c r="B221" s="38"/>
      <c r="C221" s="38"/>
      <c r="D221" s="38"/>
      <c r="E221" s="38"/>
      <c r="F221" s="38"/>
      <c r="G221" s="38"/>
      <c r="H221" s="88"/>
      <c r="I221" s="141"/>
      <c r="J221" s="118"/>
      <c r="K221" s="118"/>
      <c r="L221" s="118"/>
      <c r="M221" s="118"/>
      <c r="N221" s="118"/>
      <c r="O221" s="118"/>
      <c r="P221" s="118"/>
      <c r="Q221" s="160">
        <f t="shared" si="8"/>
        <v>0</v>
      </c>
    </row>
    <row r="222" spans="1:41">
      <c r="A222" s="91"/>
      <c r="B222" s="92"/>
      <c r="C222" s="92"/>
      <c r="D222" s="92"/>
      <c r="E222" s="92"/>
      <c r="F222" s="92"/>
      <c r="G222" s="92"/>
      <c r="H222" s="92"/>
      <c r="I222" s="141"/>
      <c r="J222" s="118"/>
      <c r="K222" s="118"/>
      <c r="L222" s="118"/>
      <c r="M222" s="118"/>
      <c r="N222" s="118"/>
      <c r="O222" s="118"/>
      <c r="P222" s="118"/>
      <c r="Q222" s="160">
        <f t="shared" si="8"/>
        <v>0</v>
      </c>
    </row>
    <row r="223" spans="1:41">
      <c r="A223" s="95"/>
      <c r="B223" s="96" t="s">
        <v>685</v>
      </c>
      <c r="C223" s="96"/>
      <c r="D223" s="96"/>
      <c r="E223" s="96"/>
      <c r="F223" s="96"/>
      <c r="G223" s="96"/>
      <c r="H223" s="97"/>
      <c r="I223" s="141"/>
      <c r="J223" s="118"/>
      <c r="K223" s="118"/>
      <c r="L223" s="118"/>
      <c r="M223" s="118"/>
      <c r="N223" s="118"/>
      <c r="O223" s="118"/>
      <c r="P223" s="118"/>
      <c r="Q223" s="160">
        <f t="shared" si="8"/>
        <v>0</v>
      </c>
    </row>
    <row r="224" spans="1:41">
      <c r="A224" s="95"/>
      <c r="B224" s="96" t="s">
        <v>686</v>
      </c>
      <c r="C224" s="96"/>
      <c r="D224" s="647" t="s">
        <v>687</v>
      </c>
      <c r="E224" s="648"/>
      <c r="F224" s="648"/>
      <c r="G224" s="648"/>
      <c r="H224" s="101" t="s">
        <v>59</v>
      </c>
      <c r="I224" s="141"/>
      <c r="J224" s="118"/>
      <c r="K224" s="118"/>
      <c r="L224" s="118"/>
      <c r="M224" s="118"/>
      <c r="N224" s="118"/>
      <c r="O224" s="118"/>
      <c r="P224" s="118"/>
      <c r="Q224" s="160">
        <f t="shared" si="8"/>
        <v>0</v>
      </c>
    </row>
    <row r="225" spans="1:41" ht="36">
      <c r="A225" s="95"/>
      <c r="B225" s="102" t="s">
        <v>688</v>
      </c>
      <c r="C225" s="103" t="s">
        <v>689</v>
      </c>
      <c r="D225" s="104" t="s">
        <v>690</v>
      </c>
      <c r="E225" s="105" t="s">
        <v>9</v>
      </c>
      <c r="F225" s="102" t="s">
        <v>691</v>
      </c>
      <c r="G225" s="106" t="s">
        <v>692</v>
      </c>
      <c r="H225" s="107" t="s">
        <v>693</v>
      </c>
      <c r="I225" s="131" t="s">
        <v>702</v>
      </c>
      <c r="J225" s="100"/>
      <c r="K225" s="100"/>
      <c r="L225" s="100"/>
      <c r="M225" s="100"/>
      <c r="N225" s="100"/>
      <c r="O225" s="100"/>
      <c r="P225" s="118"/>
      <c r="Q225" s="160">
        <f t="shared" si="8"/>
        <v>0</v>
      </c>
    </row>
    <row r="226" spans="1:41" ht="15.75" customHeight="1">
      <c r="A226" s="115" t="s">
        <v>653</v>
      </c>
      <c r="B226" s="111">
        <f>('Pivot Table for Data Exchange'!$O$7)*100</f>
        <v>61.714697705298974</v>
      </c>
      <c r="C226" s="111">
        <f>('Pivot Table for Data Exchange'!$O$10)*100</f>
        <v>21.765642073668339</v>
      </c>
      <c r="D226" s="112">
        <f>SUM(E226:G226)</f>
        <v>16.519660221032684</v>
      </c>
      <c r="E226" s="111">
        <f>('Pivot Table for Data Exchange'!$O$13)*100</f>
        <v>14.507128580715658</v>
      </c>
      <c r="F226" s="111">
        <f>('Pivot Table for Data Exchange'!$O$16)*100</f>
        <v>0.37540458110295033</v>
      </c>
      <c r="G226" s="142">
        <f>('Pivot Table for Data Exchange'!$O$19)*100</f>
        <v>1.6371270592140754</v>
      </c>
      <c r="H226" s="120">
        <f>('Pivot Table for Data Exchange'!$O$22)*100</f>
        <v>0</v>
      </c>
      <c r="I226" s="117">
        <v>7</v>
      </c>
      <c r="J226" s="117">
        <f t="shared" ref="J226:O229" si="10">I226+3</f>
        <v>10</v>
      </c>
      <c r="K226" s="117">
        <f t="shared" si="10"/>
        <v>13</v>
      </c>
      <c r="L226" s="117">
        <f t="shared" si="10"/>
        <v>16</v>
      </c>
      <c r="M226" s="117">
        <f t="shared" si="10"/>
        <v>19</v>
      </c>
      <c r="N226" s="117">
        <f t="shared" si="10"/>
        <v>22</v>
      </c>
      <c r="O226" s="117">
        <f t="shared" si="10"/>
        <v>25</v>
      </c>
      <c r="P226" s="143"/>
      <c r="Q226" s="160">
        <f t="shared" si="8"/>
        <v>99.999999999999986</v>
      </c>
      <c r="R226" s="160"/>
      <c r="Z226" s="161"/>
      <c r="AA226" s="161"/>
      <c r="AB226" s="161"/>
      <c r="AC226" s="161"/>
      <c r="AD226" s="161"/>
      <c r="AE226" s="161"/>
      <c r="AF226" s="161"/>
      <c r="AG226" s="161"/>
      <c r="AH226" s="161"/>
      <c r="AI226" s="161"/>
      <c r="AJ226" s="161"/>
      <c r="AK226" s="161"/>
      <c r="AL226" s="161"/>
      <c r="AM226" s="161"/>
      <c r="AN226" s="161"/>
      <c r="AO226" s="161"/>
    </row>
    <row r="227" spans="1:41" ht="15.75" customHeight="1">
      <c r="A227" s="118" t="s">
        <v>654</v>
      </c>
      <c r="B227" s="111">
        <f>('Pivot Table for Data Exchange'!$O$43)*100</f>
        <v>71.181260848008549</v>
      </c>
      <c r="C227" s="111">
        <f>('Pivot Table for Data Exchange'!$O$46)*100</f>
        <v>8.4573272871425846</v>
      </c>
      <c r="D227" s="112">
        <f>SUM(E227:G227)</f>
        <v>20.361411864848868</v>
      </c>
      <c r="E227" s="111">
        <f>('Pivot Table for Data Exchange'!$O$49)*100</f>
        <v>16.806627066432483</v>
      </c>
      <c r="F227" s="111">
        <f>('Pivot Table for Data Exchange'!$O$52)*100</f>
        <v>3.4635303714683241</v>
      </c>
      <c r="G227" s="119">
        <f>('Pivot Table for Data Exchange'!$O$55)*100</f>
        <v>9.1254426948060352E-2</v>
      </c>
      <c r="H227" s="111">
        <f>('Pivot Table for Data Exchange'!$O$58)*100</f>
        <v>0</v>
      </c>
      <c r="I227" s="117">
        <f>I226+36</f>
        <v>43</v>
      </c>
      <c r="J227" s="117">
        <f t="shared" si="10"/>
        <v>46</v>
      </c>
      <c r="K227" s="117">
        <f t="shared" si="10"/>
        <v>49</v>
      </c>
      <c r="L227" s="117">
        <f t="shared" si="10"/>
        <v>52</v>
      </c>
      <c r="M227" s="117">
        <f t="shared" si="10"/>
        <v>55</v>
      </c>
      <c r="N227" s="117">
        <f t="shared" si="10"/>
        <v>58</v>
      </c>
      <c r="O227" s="117">
        <f t="shared" si="10"/>
        <v>61</v>
      </c>
      <c r="P227" s="143"/>
      <c r="Q227" s="160">
        <f t="shared" si="8"/>
        <v>100</v>
      </c>
      <c r="R227" s="160"/>
      <c r="Z227" s="161"/>
      <c r="AA227" s="161"/>
      <c r="AB227" s="161"/>
      <c r="AC227" s="161"/>
      <c r="AD227" s="161"/>
      <c r="AE227" s="161"/>
      <c r="AF227" s="161"/>
      <c r="AG227" s="161"/>
      <c r="AH227" s="161"/>
      <c r="AI227" s="161"/>
      <c r="AJ227" s="161"/>
      <c r="AK227" s="161"/>
      <c r="AL227" s="161"/>
      <c r="AM227" s="161"/>
      <c r="AN227" s="161"/>
      <c r="AO227" s="161"/>
    </row>
    <row r="228" spans="1:41" ht="15.75" customHeight="1">
      <c r="A228" s="118" t="s">
        <v>655</v>
      </c>
      <c r="B228" s="111">
        <f>('Pivot Table for Data Exchange'!$O$79)*100</f>
        <v>0</v>
      </c>
      <c r="C228" s="111">
        <f>('Pivot Table for Data Exchange'!$O$82)*100</f>
        <v>0</v>
      </c>
      <c r="D228" s="112">
        <f>SUM(E228:G228)</f>
        <v>0</v>
      </c>
      <c r="E228" s="111">
        <f>('Pivot Table for Data Exchange'!$O$85)*100</f>
        <v>0</v>
      </c>
      <c r="F228" s="111">
        <f>('Pivot Table for Data Exchange'!$O$88)*100</f>
        <v>0</v>
      </c>
      <c r="G228" s="119">
        <f>('Pivot Table for Data Exchange'!$O$91)*100</f>
        <v>0</v>
      </c>
      <c r="H228" s="111">
        <f>('Pivot Table for Data Exchange'!$O$94)*100</f>
        <v>0</v>
      </c>
      <c r="I228" s="117">
        <f>I227+36</f>
        <v>79</v>
      </c>
      <c r="J228" s="117">
        <f t="shared" si="10"/>
        <v>82</v>
      </c>
      <c r="K228" s="117">
        <f t="shared" si="10"/>
        <v>85</v>
      </c>
      <c r="L228" s="117">
        <f t="shared" si="10"/>
        <v>88</v>
      </c>
      <c r="M228" s="117">
        <f t="shared" si="10"/>
        <v>91</v>
      </c>
      <c r="N228" s="117">
        <f t="shared" si="10"/>
        <v>94</v>
      </c>
      <c r="O228" s="117">
        <f t="shared" si="10"/>
        <v>97</v>
      </c>
      <c r="P228" s="143"/>
      <c r="Q228" s="160">
        <f t="shared" si="8"/>
        <v>0</v>
      </c>
      <c r="R228" s="160"/>
      <c r="Z228" s="161"/>
      <c r="AA228" s="161"/>
      <c r="AB228" s="161"/>
      <c r="AC228" s="161"/>
      <c r="AD228" s="161"/>
      <c r="AE228" s="161"/>
      <c r="AF228" s="161"/>
      <c r="AG228" s="161"/>
      <c r="AH228" s="161"/>
      <c r="AI228" s="161"/>
      <c r="AJ228" s="161"/>
      <c r="AK228" s="161"/>
      <c r="AL228" s="161"/>
      <c r="AM228" s="161"/>
      <c r="AN228" s="161"/>
      <c r="AO228" s="161"/>
    </row>
    <row r="229" spans="1:41" ht="15.75" customHeight="1">
      <c r="A229" s="118" t="s">
        <v>695</v>
      </c>
      <c r="B229" s="111">
        <f>('Pivot Table for Data Exchange'!$O$115)*100</f>
        <v>75.067284142118055</v>
      </c>
      <c r="C229" s="111">
        <f>('Pivot Table for Data Exchange'!$O$118)*100</f>
        <v>2.3133413561634963</v>
      </c>
      <c r="D229" s="112">
        <f>SUM(E229:G229)</f>
        <v>22.293967731079668</v>
      </c>
      <c r="E229" s="111">
        <f>('Pivot Table for Data Exchange'!$O$121)*100</f>
        <v>16.24456547413514</v>
      </c>
      <c r="F229" s="111">
        <f>('Pivot Table for Data Exchange'!$O$124)*100</f>
        <v>0.11407938510899734</v>
      </c>
      <c r="G229" s="119">
        <f>('Pivot Table for Data Exchange'!$O$127)*100</f>
        <v>5.9353228718355311</v>
      </c>
      <c r="H229" s="111">
        <f>('Pivot Table for Data Exchange'!$O$130)*100</f>
        <v>0.32540677063877932</v>
      </c>
      <c r="I229" s="117">
        <f>I228+36</f>
        <v>115</v>
      </c>
      <c r="J229" s="117">
        <f t="shared" si="10"/>
        <v>118</v>
      </c>
      <c r="K229" s="117">
        <f t="shared" si="10"/>
        <v>121</v>
      </c>
      <c r="L229" s="117">
        <f t="shared" si="10"/>
        <v>124</v>
      </c>
      <c r="M229" s="117">
        <f t="shared" si="10"/>
        <v>127</v>
      </c>
      <c r="N229" s="117">
        <f t="shared" si="10"/>
        <v>130</v>
      </c>
      <c r="O229" s="117">
        <f t="shared" si="10"/>
        <v>133</v>
      </c>
      <c r="P229" s="143"/>
      <c r="Q229" s="160">
        <f t="shared" si="8"/>
        <v>100</v>
      </c>
      <c r="R229" s="160"/>
      <c r="Z229" s="161"/>
      <c r="AA229" s="161"/>
      <c r="AB229" s="161"/>
      <c r="AC229" s="161"/>
      <c r="AD229" s="161"/>
      <c r="AE229" s="161"/>
      <c r="AF229" s="161"/>
      <c r="AG229" s="161"/>
      <c r="AH229" s="161"/>
      <c r="AI229" s="161"/>
      <c r="AJ229" s="161"/>
      <c r="AK229" s="161"/>
      <c r="AL229" s="161"/>
      <c r="AM229" s="161"/>
      <c r="AN229" s="161"/>
      <c r="AO229" s="161"/>
    </row>
    <row r="230" spans="1:41" ht="15.75" customHeight="1">
      <c r="A230" s="118"/>
      <c r="B230" s="111"/>
      <c r="C230" s="111"/>
      <c r="D230" s="112"/>
      <c r="E230" s="111"/>
      <c r="F230" s="111"/>
      <c r="G230" s="119"/>
      <c r="H230" s="111"/>
      <c r="I230" s="117"/>
      <c r="J230" s="117"/>
      <c r="K230" s="117"/>
      <c r="L230" s="117"/>
      <c r="M230" s="117"/>
      <c r="N230" s="117"/>
      <c r="O230" s="117"/>
      <c r="P230" s="143"/>
      <c r="Q230" s="160">
        <f t="shared" si="8"/>
        <v>0</v>
      </c>
      <c r="R230" s="160"/>
      <c r="Z230" s="161"/>
      <c r="AA230" s="161"/>
      <c r="AB230" s="161"/>
      <c r="AC230" s="161"/>
      <c r="AD230" s="161"/>
      <c r="AE230" s="161"/>
      <c r="AF230" s="161"/>
      <c r="AG230" s="161"/>
      <c r="AH230" s="161"/>
      <c r="AI230" s="161"/>
      <c r="AJ230" s="161"/>
      <c r="AK230" s="161"/>
      <c r="AL230" s="161"/>
      <c r="AM230" s="161"/>
      <c r="AN230" s="161"/>
      <c r="AO230" s="161"/>
    </row>
    <row r="231" spans="1:41" ht="15.75" customHeight="1">
      <c r="A231" s="118" t="s">
        <v>657</v>
      </c>
      <c r="B231" s="111">
        <f>('Pivot Table for Data Exchange'!$O$151)*100</f>
        <v>0</v>
      </c>
      <c r="C231" s="111">
        <f>('Pivot Table for Data Exchange'!$O$154)*100</f>
        <v>0</v>
      </c>
      <c r="D231" s="112">
        <f>SUM(E231:G231)</f>
        <v>0</v>
      </c>
      <c r="E231" s="111">
        <f>('Pivot Table for Data Exchange'!$O$157)*100</f>
        <v>0</v>
      </c>
      <c r="F231" s="111">
        <f>('Pivot Table for Data Exchange'!$O$160)*100</f>
        <v>0</v>
      </c>
      <c r="G231" s="119">
        <f>('Pivot Table for Data Exchange'!$O$163)*100</f>
        <v>0</v>
      </c>
      <c r="H231" s="111">
        <f>('Pivot Table for Data Exchange'!$O$166)*100</f>
        <v>0</v>
      </c>
      <c r="I231" s="117">
        <f>I229+36</f>
        <v>151</v>
      </c>
      <c r="J231" s="117">
        <f t="shared" ref="J231:O234" si="11">I231+3</f>
        <v>154</v>
      </c>
      <c r="K231" s="117">
        <f t="shared" si="11"/>
        <v>157</v>
      </c>
      <c r="L231" s="117">
        <f t="shared" si="11"/>
        <v>160</v>
      </c>
      <c r="M231" s="117">
        <f t="shared" si="11"/>
        <v>163</v>
      </c>
      <c r="N231" s="117">
        <f t="shared" si="11"/>
        <v>166</v>
      </c>
      <c r="O231" s="117">
        <f t="shared" si="11"/>
        <v>169</v>
      </c>
      <c r="P231" s="143"/>
      <c r="Q231" s="160">
        <f t="shared" si="8"/>
        <v>0</v>
      </c>
      <c r="R231" s="160"/>
      <c r="Z231" s="161"/>
      <c r="AA231" s="161"/>
      <c r="AB231" s="161"/>
      <c r="AC231" s="161"/>
      <c r="AD231" s="161"/>
      <c r="AE231" s="161"/>
      <c r="AF231" s="161"/>
      <c r="AG231" s="161"/>
      <c r="AH231" s="161"/>
      <c r="AI231" s="161"/>
      <c r="AJ231" s="161"/>
      <c r="AK231" s="161"/>
      <c r="AL231" s="161"/>
      <c r="AM231" s="161"/>
      <c r="AN231" s="161"/>
      <c r="AO231" s="161"/>
    </row>
    <row r="232" spans="1:41" ht="15.75" customHeight="1">
      <c r="A232" s="118" t="s">
        <v>658</v>
      </c>
      <c r="B232" s="111">
        <f>('Pivot Table for Data Exchange'!$O$187)*100</f>
        <v>66.173089905517571</v>
      </c>
      <c r="C232" s="111">
        <f>('Pivot Table for Data Exchange'!$O$190)*100</f>
        <v>7.3481574885577228</v>
      </c>
      <c r="D232" s="112">
        <f>SUM(E232:G232)</f>
        <v>26.478752605924708</v>
      </c>
      <c r="E232" s="111">
        <f>('Pivot Table for Data Exchange'!$O$193)*100</f>
        <v>25.505021516536658</v>
      </c>
      <c r="F232" s="111">
        <f>('Pivot Table for Data Exchange'!$O$196)*100</f>
        <v>0.97373108938804998</v>
      </c>
      <c r="G232" s="119">
        <f>('Pivot Table for Data Exchange'!$O$199)*100</f>
        <v>0</v>
      </c>
      <c r="H232" s="111">
        <f>('Pivot Table for Data Exchange'!$O$202)*100</f>
        <v>0</v>
      </c>
      <c r="I232" s="117">
        <f>I231+36</f>
        <v>187</v>
      </c>
      <c r="J232" s="117">
        <f t="shared" si="11"/>
        <v>190</v>
      </c>
      <c r="K232" s="117">
        <f t="shared" si="11"/>
        <v>193</v>
      </c>
      <c r="L232" s="117">
        <f t="shared" si="11"/>
        <v>196</v>
      </c>
      <c r="M232" s="117">
        <f t="shared" si="11"/>
        <v>199</v>
      </c>
      <c r="N232" s="117">
        <f t="shared" si="11"/>
        <v>202</v>
      </c>
      <c r="O232" s="117">
        <f t="shared" si="11"/>
        <v>205</v>
      </c>
      <c r="P232" s="143"/>
      <c r="Q232" s="160">
        <f t="shared" si="8"/>
        <v>100</v>
      </c>
      <c r="R232" s="160"/>
      <c r="Z232" s="161"/>
      <c r="AA232" s="161"/>
      <c r="AB232" s="161"/>
      <c r="AC232" s="161"/>
      <c r="AD232" s="161"/>
      <c r="AE232" s="161"/>
      <c r="AF232" s="161"/>
      <c r="AG232" s="161"/>
      <c r="AH232" s="161"/>
      <c r="AI232" s="161"/>
      <c r="AJ232" s="161"/>
      <c r="AK232" s="161"/>
      <c r="AL232" s="161"/>
      <c r="AM232" s="161"/>
      <c r="AN232" s="161"/>
      <c r="AO232" s="161"/>
    </row>
    <row r="233" spans="1:41" ht="15.75" customHeight="1">
      <c r="A233" s="118" t="s">
        <v>659</v>
      </c>
      <c r="B233" s="111">
        <f>('Pivot Table for Data Exchange'!$O$223)*100</f>
        <v>0</v>
      </c>
      <c r="C233" s="111">
        <f>('Pivot Table for Data Exchange'!$O$226)*100</f>
        <v>0</v>
      </c>
      <c r="D233" s="112">
        <f>SUM(E233:G233)</f>
        <v>0</v>
      </c>
      <c r="E233" s="111">
        <f>('Pivot Table for Data Exchange'!$O$229)*100</f>
        <v>0</v>
      </c>
      <c r="F233" s="111">
        <f>('Pivot Table for Data Exchange'!$O$232)*100</f>
        <v>0</v>
      </c>
      <c r="G233" s="119">
        <f>('Pivot Table for Data Exchange'!$O$235)*100</f>
        <v>0</v>
      </c>
      <c r="H233" s="111">
        <f>('Pivot Table for Data Exchange'!$O$238)*100</f>
        <v>0</v>
      </c>
      <c r="I233" s="117">
        <f>I232+36</f>
        <v>223</v>
      </c>
      <c r="J233" s="117">
        <f t="shared" si="11"/>
        <v>226</v>
      </c>
      <c r="K233" s="117">
        <f t="shared" si="11"/>
        <v>229</v>
      </c>
      <c r="L233" s="117">
        <f t="shared" si="11"/>
        <v>232</v>
      </c>
      <c r="M233" s="117">
        <f t="shared" si="11"/>
        <v>235</v>
      </c>
      <c r="N233" s="117">
        <f t="shared" si="11"/>
        <v>238</v>
      </c>
      <c r="O233" s="117">
        <f t="shared" si="11"/>
        <v>241</v>
      </c>
      <c r="P233" s="143"/>
      <c r="Q233" s="160">
        <f t="shared" si="8"/>
        <v>0</v>
      </c>
      <c r="R233" s="160"/>
      <c r="Z233" s="161"/>
      <c r="AA233" s="161"/>
      <c r="AB233" s="161"/>
      <c r="AC233" s="161"/>
      <c r="AD233" s="161"/>
      <c r="AE233" s="161"/>
      <c r="AF233" s="161"/>
      <c r="AG233" s="161"/>
      <c r="AH233" s="161"/>
      <c r="AI233" s="161"/>
      <c r="AJ233" s="161"/>
      <c r="AK233" s="161"/>
      <c r="AL233" s="161"/>
      <c r="AM233" s="161"/>
      <c r="AN233" s="161"/>
      <c r="AO233" s="161"/>
    </row>
    <row r="234" spans="1:41" ht="15.75" customHeight="1">
      <c r="A234" s="118" t="s">
        <v>700</v>
      </c>
      <c r="B234" s="111">
        <f>('Pivot Table for Data Exchange'!$O$259)*100</f>
        <v>79.173057257440533</v>
      </c>
      <c r="C234" s="111">
        <f>('Pivot Table for Data Exchange'!$O$262)*100</f>
        <v>8.036597600435746</v>
      </c>
      <c r="D234" s="112">
        <f>SUM(E234:G234)</f>
        <v>12.785771814067655</v>
      </c>
      <c r="E234" s="111">
        <f>('Pivot Table for Data Exchange'!$O$265)*100</f>
        <v>12.519366985676625</v>
      </c>
      <c r="F234" s="111">
        <f>('Pivot Table for Data Exchange'!$O$268)*100</f>
        <v>0.1939091095765845</v>
      </c>
      <c r="G234" s="119">
        <f>('Pivot Table for Data Exchange'!$O$271)*100</f>
        <v>7.249571881444633E-2</v>
      </c>
      <c r="H234" s="120">
        <f>('Pivot Table for Data Exchange'!$O$274)*100</f>
        <v>4.5733280560515217E-3</v>
      </c>
      <c r="I234" s="117">
        <f>I233+36</f>
        <v>259</v>
      </c>
      <c r="J234" s="117">
        <f t="shared" si="11"/>
        <v>262</v>
      </c>
      <c r="K234" s="117">
        <f t="shared" si="11"/>
        <v>265</v>
      </c>
      <c r="L234" s="117">
        <f t="shared" si="11"/>
        <v>268</v>
      </c>
      <c r="M234" s="117">
        <f t="shared" si="11"/>
        <v>271</v>
      </c>
      <c r="N234" s="117">
        <f t="shared" si="11"/>
        <v>274</v>
      </c>
      <c r="O234" s="117">
        <f t="shared" si="11"/>
        <v>277</v>
      </c>
      <c r="P234" s="143"/>
      <c r="Q234" s="160">
        <f t="shared" si="8"/>
        <v>99.999999999999986</v>
      </c>
      <c r="R234" s="160"/>
      <c r="Z234" s="161"/>
      <c r="AA234" s="161"/>
      <c r="AB234" s="161"/>
      <c r="AC234" s="161"/>
      <c r="AD234" s="161"/>
      <c r="AE234" s="161"/>
      <c r="AF234" s="161"/>
      <c r="AG234" s="161"/>
      <c r="AH234" s="161"/>
      <c r="AI234" s="161"/>
      <c r="AJ234" s="161"/>
      <c r="AK234" s="161"/>
      <c r="AL234" s="161"/>
      <c r="AM234" s="161"/>
      <c r="AN234" s="161"/>
      <c r="AO234" s="161"/>
    </row>
    <row r="235" spans="1:41" ht="15.75" customHeight="1">
      <c r="A235" s="118"/>
      <c r="B235" s="111"/>
      <c r="C235" s="111"/>
      <c r="D235" s="112"/>
      <c r="E235" s="111"/>
      <c r="F235" s="111"/>
      <c r="G235" s="119"/>
      <c r="H235" s="111"/>
      <c r="I235" s="117"/>
      <c r="J235" s="117"/>
      <c r="K235" s="117"/>
      <c r="L235" s="117"/>
      <c r="M235" s="117"/>
      <c r="N235" s="117"/>
      <c r="O235" s="117"/>
      <c r="P235" s="143"/>
      <c r="Q235" s="160">
        <f t="shared" si="8"/>
        <v>0</v>
      </c>
      <c r="R235" s="160"/>
      <c r="Z235" s="161"/>
      <c r="AA235" s="161"/>
      <c r="AB235" s="161"/>
      <c r="AC235" s="161"/>
      <c r="AD235" s="161"/>
      <c r="AE235" s="161"/>
      <c r="AF235" s="161"/>
      <c r="AG235" s="161"/>
      <c r="AH235" s="161"/>
      <c r="AI235" s="161"/>
      <c r="AJ235" s="161"/>
      <c r="AK235" s="161"/>
      <c r="AL235" s="161"/>
      <c r="AM235" s="161"/>
      <c r="AN235" s="161"/>
      <c r="AO235" s="161"/>
    </row>
    <row r="236" spans="1:41" ht="15.75" customHeight="1">
      <c r="A236" s="118" t="s">
        <v>703</v>
      </c>
      <c r="B236" s="144">
        <f>('Pivot Table for Data Exchange'!$O$295)*100</f>
        <v>81.98158044404866</v>
      </c>
      <c r="C236" s="111">
        <f>('Pivot Table for Data Exchange'!$O$298)*100</f>
        <v>0</v>
      </c>
      <c r="D236" s="112">
        <f>SUM(E236:G236)</f>
        <v>18.01841955595134</v>
      </c>
      <c r="E236" s="111">
        <f>('Pivot Table for Data Exchange'!$O$301)*100</f>
        <v>18.01841955595134</v>
      </c>
      <c r="F236" s="111">
        <f>('Pivot Table for Data Exchange'!$O$304)*100</f>
        <v>0</v>
      </c>
      <c r="G236" s="119">
        <f>('Pivot Table for Data Exchange'!$O$307)*100</f>
        <v>0</v>
      </c>
      <c r="H236" s="111">
        <f>('Pivot Table for Data Exchange'!$O$310)*100</f>
        <v>0</v>
      </c>
      <c r="I236" s="117">
        <f>I234+36</f>
        <v>295</v>
      </c>
      <c r="J236" s="117">
        <f t="shared" ref="J236:O239" si="12">I236+3</f>
        <v>298</v>
      </c>
      <c r="K236" s="117">
        <f t="shared" si="12"/>
        <v>301</v>
      </c>
      <c r="L236" s="117">
        <f t="shared" si="12"/>
        <v>304</v>
      </c>
      <c r="M236" s="117">
        <f t="shared" si="12"/>
        <v>307</v>
      </c>
      <c r="N236" s="117">
        <f t="shared" si="12"/>
        <v>310</v>
      </c>
      <c r="O236" s="117">
        <f t="shared" si="12"/>
        <v>313</v>
      </c>
      <c r="P236" s="143"/>
      <c r="Q236" s="160">
        <f t="shared" si="8"/>
        <v>100</v>
      </c>
      <c r="R236" s="160"/>
      <c r="Z236" s="161"/>
      <c r="AA236" s="161"/>
      <c r="AB236" s="161"/>
      <c r="AC236" s="161"/>
      <c r="AD236" s="161"/>
      <c r="AE236" s="161"/>
      <c r="AF236" s="161"/>
      <c r="AG236" s="161"/>
      <c r="AH236" s="161"/>
      <c r="AI236" s="161"/>
      <c r="AJ236" s="161"/>
      <c r="AK236" s="161"/>
      <c r="AL236" s="161"/>
      <c r="AM236" s="161"/>
      <c r="AN236" s="161"/>
      <c r="AO236" s="161"/>
    </row>
    <row r="237" spans="1:41" ht="15.75" customHeight="1">
      <c r="A237" s="118" t="s">
        <v>662</v>
      </c>
      <c r="B237" s="111">
        <f>('Pivot Table for Data Exchange'!$O$331)*100</f>
        <v>73.273045001349317</v>
      </c>
      <c r="C237" s="111">
        <f>('Pivot Table for Data Exchange'!$O$334)*100</f>
        <v>4.0853546892245749</v>
      </c>
      <c r="D237" s="112">
        <f>SUM(E237:G237)</f>
        <v>22.641600309426099</v>
      </c>
      <c r="E237" s="111">
        <f>('Pivot Table for Data Exchange'!$O$337)*100</f>
        <v>21.712163872297026</v>
      </c>
      <c r="F237" s="111">
        <f>('Pivot Table for Data Exchange'!$O$340)*100</f>
        <v>0.60023001065490533</v>
      </c>
      <c r="G237" s="119">
        <f>('Pivot Table for Data Exchange'!$O$343)*100</f>
        <v>0.32920642647416754</v>
      </c>
      <c r="H237" s="111">
        <f>('Pivot Table for Data Exchange'!$O$346)*100</f>
        <v>0</v>
      </c>
      <c r="I237" s="117">
        <f>I236+36</f>
        <v>331</v>
      </c>
      <c r="J237" s="117">
        <f t="shared" si="12"/>
        <v>334</v>
      </c>
      <c r="K237" s="117">
        <f t="shared" si="12"/>
        <v>337</v>
      </c>
      <c r="L237" s="117">
        <f t="shared" si="12"/>
        <v>340</v>
      </c>
      <c r="M237" s="117">
        <f t="shared" si="12"/>
        <v>343</v>
      </c>
      <c r="N237" s="117">
        <f t="shared" si="12"/>
        <v>346</v>
      </c>
      <c r="O237" s="117">
        <f t="shared" si="12"/>
        <v>349</v>
      </c>
      <c r="P237" s="143"/>
      <c r="Q237" s="160">
        <f t="shared" si="8"/>
        <v>99.999999999999986</v>
      </c>
      <c r="R237" s="160"/>
      <c r="Z237" s="161"/>
      <c r="AA237" s="161"/>
      <c r="AB237" s="161"/>
      <c r="AC237" s="161"/>
      <c r="AD237" s="161"/>
      <c r="AE237" s="161"/>
      <c r="AF237" s="161"/>
      <c r="AG237" s="161"/>
      <c r="AH237" s="161"/>
      <c r="AI237" s="161"/>
      <c r="AJ237" s="161"/>
      <c r="AK237" s="161"/>
      <c r="AL237" s="161"/>
      <c r="AM237" s="161"/>
      <c r="AN237" s="161"/>
      <c r="AO237" s="161"/>
    </row>
    <row r="238" spans="1:41" ht="15.75" customHeight="1">
      <c r="A238" s="118" t="s">
        <v>663</v>
      </c>
      <c r="B238" s="111">
        <f>('Pivot Table for Data Exchange'!$O$367)*100</f>
        <v>70.530546406698647</v>
      </c>
      <c r="C238" s="111">
        <f>('Pivot Table for Data Exchange'!$O$370)*100</f>
        <v>6.1195316058054559</v>
      </c>
      <c r="D238" s="112">
        <f>SUM(E238:G238)</f>
        <v>22.386151460877741</v>
      </c>
      <c r="E238" s="111">
        <f>('Pivot Table for Data Exchange'!$O$373)*100</f>
        <v>17.92268230435802</v>
      </c>
      <c r="F238" s="111">
        <f>('Pivot Table for Data Exchange'!$O$376)*100</f>
        <v>2.539181181739059</v>
      </c>
      <c r="G238" s="119">
        <f>('Pivot Table for Data Exchange'!$O$379)*100</f>
        <v>1.9242879747806627</v>
      </c>
      <c r="H238" s="111">
        <f>('Pivot Table for Data Exchange'!$O$382)*100</f>
        <v>0.96377052661816098</v>
      </c>
      <c r="I238" s="117">
        <f>I237+36</f>
        <v>367</v>
      </c>
      <c r="J238" s="117">
        <f t="shared" si="12"/>
        <v>370</v>
      </c>
      <c r="K238" s="117">
        <f t="shared" si="12"/>
        <v>373</v>
      </c>
      <c r="L238" s="117">
        <f t="shared" si="12"/>
        <v>376</v>
      </c>
      <c r="M238" s="117">
        <f t="shared" si="12"/>
        <v>379</v>
      </c>
      <c r="N238" s="117">
        <f t="shared" si="12"/>
        <v>382</v>
      </c>
      <c r="O238" s="117">
        <f t="shared" si="12"/>
        <v>385</v>
      </c>
      <c r="P238" s="143"/>
      <c r="Q238" s="160">
        <f t="shared" si="8"/>
        <v>100.00000000000001</v>
      </c>
      <c r="R238" s="160"/>
      <c r="Z238" s="161"/>
      <c r="AA238" s="161"/>
      <c r="AB238" s="161"/>
      <c r="AC238" s="161"/>
      <c r="AD238" s="161"/>
      <c r="AE238" s="161"/>
      <c r="AF238" s="161"/>
      <c r="AG238" s="161"/>
      <c r="AH238" s="161"/>
      <c r="AI238" s="161"/>
      <c r="AJ238" s="161"/>
      <c r="AK238" s="161"/>
      <c r="AL238" s="161"/>
      <c r="AM238" s="161"/>
      <c r="AN238" s="161"/>
      <c r="AO238" s="161"/>
    </row>
    <row r="239" spans="1:41" ht="15.75" customHeight="1">
      <c r="A239" s="118" t="s">
        <v>664</v>
      </c>
      <c r="B239" s="111">
        <f>('Pivot Table for Data Exchange'!$O$403)*100</f>
        <v>74.289266235268883</v>
      </c>
      <c r="C239" s="111">
        <f>('Pivot Table for Data Exchange'!$O$406)*100</f>
        <v>5.4160353631325497</v>
      </c>
      <c r="D239" s="112">
        <f>SUM(E239:G239)</f>
        <v>20.29469840159857</v>
      </c>
      <c r="E239" s="111">
        <f>('Pivot Table for Data Exchange'!$O$409)*100</f>
        <v>18.627508111933704</v>
      </c>
      <c r="F239" s="111">
        <f>('Pivot Table for Data Exchange'!$O$412)*100</f>
        <v>1.6270740115771356</v>
      </c>
      <c r="G239" s="119">
        <f>('Pivot Table for Data Exchange'!$O$415)*100</f>
        <v>4.0116278087728809E-2</v>
      </c>
      <c r="H239" s="111">
        <f>('Pivot Table for Data Exchange'!$O$418)*100</f>
        <v>0</v>
      </c>
      <c r="I239" s="117">
        <f>I238+36</f>
        <v>403</v>
      </c>
      <c r="J239" s="117">
        <f t="shared" si="12"/>
        <v>406</v>
      </c>
      <c r="K239" s="117">
        <f t="shared" si="12"/>
        <v>409</v>
      </c>
      <c r="L239" s="117">
        <f t="shared" si="12"/>
        <v>412</v>
      </c>
      <c r="M239" s="117">
        <f t="shared" si="12"/>
        <v>415</v>
      </c>
      <c r="N239" s="117">
        <f t="shared" si="12"/>
        <v>418</v>
      </c>
      <c r="O239" s="117">
        <f t="shared" si="12"/>
        <v>421</v>
      </c>
      <c r="P239" s="143"/>
      <c r="Q239" s="160">
        <f t="shared" si="8"/>
        <v>100</v>
      </c>
      <c r="R239" s="160"/>
      <c r="Z239" s="161"/>
      <c r="AA239" s="161"/>
      <c r="AB239" s="161"/>
      <c r="AC239" s="161"/>
      <c r="AD239" s="161"/>
      <c r="AE239" s="161"/>
      <c r="AF239" s="161"/>
      <c r="AG239" s="161"/>
      <c r="AH239" s="161"/>
      <c r="AI239" s="161"/>
      <c r="AJ239" s="161"/>
      <c r="AK239" s="161"/>
      <c r="AL239" s="161"/>
      <c r="AM239" s="161"/>
      <c r="AN239" s="161"/>
      <c r="AO239" s="161"/>
    </row>
    <row r="240" spans="1:41" ht="10.5" customHeight="1">
      <c r="A240" s="118"/>
      <c r="B240" s="111"/>
      <c r="C240" s="111"/>
      <c r="D240" s="112"/>
      <c r="E240" s="111"/>
      <c r="F240" s="111"/>
      <c r="G240" s="119"/>
      <c r="H240" s="111"/>
      <c r="I240" s="117"/>
      <c r="J240" s="117"/>
      <c r="K240" s="117"/>
      <c r="L240" s="117"/>
      <c r="M240" s="117"/>
      <c r="N240" s="117"/>
      <c r="O240" s="117"/>
      <c r="P240" s="143"/>
      <c r="Q240" s="160">
        <f t="shared" si="8"/>
        <v>0</v>
      </c>
      <c r="R240" s="160"/>
      <c r="Z240" s="161"/>
      <c r="AA240" s="161"/>
      <c r="AB240" s="161"/>
      <c r="AC240" s="161"/>
      <c r="AD240" s="161"/>
      <c r="AE240" s="161"/>
      <c r="AF240" s="161"/>
      <c r="AG240" s="161"/>
      <c r="AH240" s="161"/>
      <c r="AI240" s="161"/>
      <c r="AJ240" s="161"/>
      <c r="AK240" s="161"/>
      <c r="AL240" s="161"/>
      <c r="AM240" s="161"/>
      <c r="AN240" s="161"/>
      <c r="AO240" s="161"/>
    </row>
    <row r="241" spans="1:41" ht="15.75" customHeight="1">
      <c r="A241" s="118" t="s">
        <v>665</v>
      </c>
      <c r="B241" s="111">
        <f>('Pivot Table for Data Exchange'!$O$439)*100</f>
        <v>71.62861148262138</v>
      </c>
      <c r="C241" s="111">
        <f>('Pivot Table for Data Exchange'!$O$442)*100</f>
        <v>5.1486287242785087</v>
      </c>
      <c r="D241" s="112">
        <f>SUM(E241:G241)</f>
        <v>23.052407789361734</v>
      </c>
      <c r="E241" s="111">
        <f>('Pivot Table for Data Exchange'!$O$445)*100</f>
        <v>15.026225043909827</v>
      </c>
      <c r="F241" s="111">
        <f>('Pivot Table for Data Exchange'!$O$448)*100</f>
        <v>2.0142122818608099</v>
      </c>
      <c r="G241" s="119">
        <f>('Pivot Table for Data Exchange'!$O$451)*100</f>
        <v>6.0119704635910987</v>
      </c>
      <c r="H241" s="111">
        <f>('Pivot Table for Data Exchange'!$O$454)*100</f>
        <v>0.170352003738378</v>
      </c>
      <c r="I241" s="117">
        <f>I239+36</f>
        <v>439</v>
      </c>
      <c r="J241" s="117">
        <f t="shared" ref="J241:O244" si="13">I241+3</f>
        <v>442</v>
      </c>
      <c r="K241" s="117">
        <f t="shared" si="13"/>
        <v>445</v>
      </c>
      <c r="L241" s="117">
        <f t="shared" si="13"/>
        <v>448</v>
      </c>
      <c r="M241" s="117">
        <f t="shared" si="13"/>
        <v>451</v>
      </c>
      <c r="N241" s="117">
        <f t="shared" si="13"/>
        <v>454</v>
      </c>
      <c r="O241" s="117">
        <f t="shared" si="13"/>
        <v>457</v>
      </c>
      <c r="P241" s="143"/>
      <c r="Q241" s="160">
        <f t="shared" si="8"/>
        <v>100</v>
      </c>
      <c r="R241" s="160"/>
      <c r="Z241" s="161"/>
      <c r="AA241" s="161"/>
      <c r="AB241" s="161"/>
      <c r="AC241" s="161"/>
      <c r="AD241" s="161"/>
      <c r="AE241" s="161"/>
      <c r="AF241" s="161"/>
      <c r="AG241" s="161"/>
      <c r="AH241" s="161"/>
      <c r="AI241" s="161"/>
      <c r="AJ241" s="161"/>
      <c r="AK241" s="161"/>
      <c r="AL241" s="161"/>
      <c r="AM241" s="161"/>
      <c r="AN241" s="161"/>
      <c r="AO241" s="161"/>
    </row>
    <row r="242" spans="1:41" ht="15.75" customHeight="1">
      <c r="A242" s="118" t="s">
        <v>666</v>
      </c>
      <c r="B242" s="111">
        <f>('Pivot Table for Data Exchange'!$O$475)*100</f>
        <v>71.572653990776928</v>
      </c>
      <c r="C242" s="111">
        <f>('Pivot Table for Data Exchange'!$O$478)*100</f>
        <v>10.791597070312209</v>
      </c>
      <c r="D242" s="112">
        <f>SUM(E242:G242)</f>
        <v>17.635748938910865</v>
      </c>
      <c r="E242" s="111">
        <f>('Pivot Table for Data Exchange'!$O$481)*100</f>
        <v>16.591705463940571</v>
      </c>
      <c r="F242" s="111">
        <f>('Pivot Table for Data Exchange'!$O$484)*100</f>
        <v>0.52069829542015933</v>
      </c>
      <c r="G242" s="119">
        <f>('Pivot Table for Data Exchange'!$O$487)*100</f>
        <v>0.5233451795501326</v>
      </c>
      <c r="H242" s="111">
        <f>('Pivot Table for Data Exchange'!$O$490)*100</f>
        <v>0</v>
      </c>
      <c r="I242" s="117">
        <f>I241+36</f>
        <v>475</v>
      </c>
      <c r="J242" s="117">
        <f t="shared" si="13"/>
        <v>478</v>
      </c>
      <c r="K242" s="117">
        <f t="shared" si="13"/>
        <v>481</v>
      </c>
      <c r="L242" s="117">
        <f t="shared" si="13"/>
        <v>484</v>
      </c>
      <c r="M242" s="117">
        <f t="shared" si="13"/>
        <v>487</v>
      </c>
      <c r="N242" s="117">
        <f t="shared" si="13"/>
        <v>490</v>
      </c>
      <c r="O242" s="117">
        <f t="shared" si="13"/>
        <v>493</v>
      </c>
      <c r="P242" s="143"/>
      <c r="Q242" s="160">
        <f t="shared" si="8"/>
        <v>100</v>
      </c>
      <c r="R242" s="160"/>
      <c r="Z242" s="161"/>
      <c r="AA242" s="161"/>
      <c r="AB242" s="161"/>
      <c r="AC242" s="161"/>
      <c r="AD242" s="161"/>
      <c r="AE242" s="161"/>
      <c r="AF242" s="161"/>
      <c r="AG242" s="161"/>
      <c r="AH242" s="161"/>
      <c r="AI242" s="161"/>
      <c r="AJ242" s="161"/>
      <c r="AK242" s="161"/>
      <c r="AL242" s="161"/>
      <c r="AM242" s="161"/>
      <c r="AN242" s="161"/>
      <c r="AO242" s="161"/>
    </row>
    <row r="243" spans="1:41" ht="15.75" customHeight="1">
      <c r="A243" s="118" t="s">
        <v>667</v>
      </c>
      <c r="B243" s="111">
        <f>('Pivot Table for Data Exchange'!$O$511)*100</f>
        <v>64.064556174318909</v>
      </c>
      <c r="C243" s="111">
        <f>('Pivot Table for Data Exchange'!$O$514)*100</f>
        <v>12.308535391906659</v>
      </c>
      <c r="D243" s="112">
        <f>SUM(E243:G243)</f>
        <v>23.626908433774432</v>
      </c>
      <c r="E243" s="111">
        <f>('Pivot Table for Data Exchange'!$O$517)*100</f>
        <v>21.677830313623666</v>
      </c>
      <c r="F243" s="111">
        <f>('Pivot Table for Data Exchange'!$O$520)*100</f>
        <v>1.9490781201507661</v>
      </c>
      <c r="G243" s="119">
        <f>('Pivot Table for Data Exchange'!$O$523)*100</f>
        <v>0</v>
      </c>
      <c r="H243" s="111">
        <f>('Pivot Table for Data Exchange'!$O$526)*100</f>
        <v>0</v>
      </c>
      <c r="I243" s="117">
        <f>I242+36</f>
        <v>511</v>
      </c>
      <c r="J243" s="117">
        <f t="shared" si="13"/>
        <v>514</v>
      </c>
      <c r="K243" s="117">
        <f t="shared" si="13"/>
        <v>517</v>
      </c>
      <c r="L243" s="117">
        <f t="shared" si="13"/>
        <v>520</v>
      </c>
      <c r="M243" s="117">
        <f t="shared" si="13"/>
        <v>523</v>
      </c>
      <c r="N243" s="117">
        <f t="shared" si="13"/>
        <v>526</v>
      </c>
      <c r="O243" s="117">
        <f t="shared" si="13"/>
        <v>529</v>
      </c>
      <c r="P243" s="143"/>
      <c r="Q243" s="160">
        <f t="shared" si="8"/>
        <v>100</v>
      </c>
      <c r="R243" s="160"/>
      <c r="Z243" s="161"/>
      <c r="AA243" s="161"/>
      <c r="AB243" s="161"/>
      <c r="AC243" s="161"/>
      <c r="AD243" s="161"/>
      <c r="AE243" s="161"/>
      <c r="AF243" s="161"/>
      <c r="AG243" s="161"/>
      <c r="AH243" s="161"/>
      <c r="AI243" s="161"/>
      <c r="AJ243" s="161"/>
      <c r="AK243" s="161"/>
      <c r="AL243" s="161"/>
      <c r="AM243" s="161"/>
      <c r="AN243" s="161"/>
      <c r="AO243" s="161"/>
    </row>
    <row r="244" spans="1:41" ht="15.75" customHeight="1">
      <c r="A244" s="91" t="s">
        <v>668</v>
      </c>
      <c r="B244" s="122">
        <f>('Pivot Table for Data Exchange'!$O$547)*100</f>
        <v>67.087774707198307</v>
      </c>
      <c r="C244" s="122">
        <f>('Pivot Table for Data Exchange'!$O$550)*100</f>
        <v>15.461535437848111</v>
      </c>
      <c r="D244" s="123">
        <f>SUM(E244:G244)</f>
        <v>17.393266031244714</v>
      </c>
      <c r="E244" s="122">
        <f>('Pivot Table for Data Exchange'!$O$553)*100</f>
        <v>15.455041076833417</v>
      </c>
      <c r="F244" s="122">
        <f>('Pivot Table for Data Exchange'!$O$556)*100</f>
        <v>1.7222019985541501</v>
      </c>
      <c r="G244" s="124">
        <f>('Pivot Table for Data Exchange'!$O$559)*100</f>
        <v>0.21602295585714457</v>
      </c>
      <c r="H244" s="133">
        <f>('Pivot Table for Data Exchange'!$O$562)*100</f>
        <v>5.7423823708861212E-2</v>
      </c>
      <c r="I244" s="117">
        <f>I243+36</f>
        <v>547</v>
      </c>
      <c r="J244" s="117">
        <f t="shared" si="13"/>
        <v>550</v>
      </c>
      <c r="K244" s="117">
        <f t="shared" si="13"/>
        <v>553</v>
      </c>
      <c r="L244" s="117">
        <f t="shared" si="13"/>
        <v>556</v>
      </c>
      <c r="M244" s="117">
        <f t="shared" si="13"/>
        <v>559</v>
      </c>
      <c r="N244" s="117">
        <f t="shared" si="13"/>
        <v>562</v>
      </c>
      <c r="O244" s="117">
        <f t="shared" si="13"/>
        <v>565</v>
      </c>
      <c r="P244" s="143"/>
      <c r="Q244" s="160">
        <f t="shared" si="8"/>
        <v>100</v>
      </c>
      <c r="R244" s="160"/>
      <c r="Z244" s="161"/>
      <c r="AA244" s="161"/>
      <c r="AB244" s="161"/>
      <c r="AC244" s="161"/>
      <c r="AD244" s="161"/>
      <c r="AE244" s="161"/>
      <c r="AF244" s="161"/>
      <c r="AG244" s="161"/>
      <c r="AH244" s="161"/>
      <c r="AI244" s="161"/>
      <c r="AJ244" s="161"/>
      <c r="AK244" s="161"/>
      <c r="AL244" s="161"/>
      <c r="AM244" s="161"/>
      <c r="AN244" s="161"/>
      <c r="AO244" s="161"/>
    </row>
    <row r="245" spans="1:41" s="166" customFormat="1" ht="18" customHeight="1">
      <c r="A245" s="58" t="s">
        <v>697</v>
      </c>
      <c r="B245" s="126"/>
      <c r="C245" s="126"/>
      <c r="D245" s="127"/>
      <c r="E245" s="126"/>
      <c r="F245" s="127"/>
      <c r="G245" s="127"/>
      <c r="H245" s="126"/>
      <c r="I245" s="58"/>
      <c r="J245" s="126"/>
      <c r="K245" s="126"/>
      <c r="L245" s="127"/>
      <c r="M245" s="126"/>
      <c r="N245" s="127"/>
      <c r="O245" s="127"/>
      <c r="P245" s="126"/>
      <c r="Q245" s="160">
        <f t="shared" si="8"/>
        <v>0</v>
      </c>
      <c r="R245" s="164"/>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row>
    <row r="246" spans="1:41" s="166" customFormat="1" ht="28.5" customHeight="1">
      <c r="A246" s="643" t="s">
        <v>704</v>
      </c>
      <c r="B246" s="651"/>
      <c r="C246" s="651"/>
      <c r="D246" s="651"/>
      <c r="E246" s="651"/>
      <c r="F246" s="651"/>
      <c r="G246" s="651"/>
      <c r="H246" s="651"/>
      <c r="I246" s="58"/>
      <c r="J246" s="60"/>
      <c r="K246" s="60"/>
      <c r="L246" s="60"/>
      <c r="M246" s="60"/>
      <c r="N246" s="60"/>
      <c r="O246" s="60"/>
      <c r="P246" s="136"/>
      <c r="Q246" s="160">
        <f t="shared" si="8"/>
        <v>0</v>
      </c>
      <c r="R246" s="169"/>
    </row>
    <row r="247" spans="1:41" ht="12" customHeight="1">
      <c r="A247" s="118"/>
      <c r="B247" s="145"/>
      <c r="C247" s="145"/>
      <c r="D247" s="146"/>
      <c r="E247" s="145"/>
      <c r="F247" s="146"/>
      <c r="G247" s="146"/>
      <c r="H247" s="145"/>
      <c r="I247" s="118"/>
      <c r="J247" s="145"/>
      <c r="K247" s="145"/>
      <c r="L247" s="146"/>
      <c r="M247" s="145"/>
      <c r="N247" s="146"/>
      <c r="O247" s="146"/>
      <c r="P247" s="145"/>
      <c r="Q247" s="160">
        <f t="shared" si="8"/>
        <v>0</v>
      </c>
      <c r="R247" s="160"/>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row>
    <row r="248" spans="1:41" s="166" customFormat="1">
      <c r="A248" s="60"/>
      <c r="B248" s="60"/>
      <c r="C248" s="60"/>
      <c r="D248" s="60"/>
      <c r="E248" s="60"/>
      <c r="F248" s="60"/>
      <c r="G248" s="60"/>
      <c r="H248" s="64" t="s">
        <v>1034</v>
      </c>
      <c r="I248" s="62"/>
      <c r="J248" s="62"/>
      <c r="K248" s="62"/>
      <c r="L248" s="62"/>
      <c r="M248" s="62"/>
      <c r="N248" s="62"/>
      <c r="O248" s="62"/>
      <c r="P248" s="62"/>
      <c r="Q248" s="160">
        <f t="shared" si="8"/>
        <v>0</v>
      </c>
      <c r="R248" s="168"/>
    </row>
    <row r="249" spans="1:41" ht="18">
      <c r="A249" s="31" t="s">
        <v>1019</v>
      </c>
      <c r="B249" s="86"/>
      <c r="C249" s="86"/>
      <c r="D249" s="86"/>
      <c r="E249" s="86"/>
      <c r="F249" s="86"/>
      <c r="G249" s="86"/>
      <c r="H249" s="87"/>
      <c r="I249" s="141"/>
      <c r="J249" s="118"/>
      <c r="K249" s="118"/>
      <c r="L249" s="118"/>
      <c r="M249" s="118"/>
      <c r="N249" s="118"/>
      <c r="O249" s="118"/>
      <c r="P249" s="118"/>
      <c r="Q249" s="160">
        <f t="shared" si="8"/>
        <v>0</v>
      </c>
    </row>
    <row r="250" spans="1:41">
      <c r="A250" s="37"/>
      <c r="B250" s="38"/>
      <c r="C250" s="38"/>
      <c r="D250" s="38"/>
      <c r="E250" s="38"/>
      <c r="F250" s="38"/>
      <c r="G250" s="38"/>
      <c r="H250" s="88"/>
      <c r="I250" s="141"/>
      <c r="J250" s="118"/>
      <c r="K250" s="118"/>
      <c r="L250" s="118"/>
      <c r="M250" s="118"/>
      <c r="N250" s="118"/>
      <c r="O250" s="118"/>
      <c r="P250" s="118"/>
      <c r="Q250" s="160">
        <f t="shared" si="8"/>
        <v>0</v>
      </c>
    </row>
    <row r="251" spans="1:41" ht="15.75">
      <c r="A251" s="89" t="s">
        <v>683</v>
      </c>
      <c r="B251" s="38"/>
      <c r="C251" s="38"/>
      <c r="D251" s="38"/>
      <c r="E251" s="38"/>
      <c r="F251" s="38"/>
      <c r="G251" s="38"/>
      <c r="H251" s="88"/>
      <c r="I251" s="141"/>
      <c r="J251" s="118"/>
      <c r="K251" s="118"/>
      <c r="L251" s="118"/>
      <c r="M251" s="118"/>
      <c r="N251" s="118"/>
      <c r="O251" s="118"/>
      <c r="P251" s="118"/>
      <c r="Q251" s="160">
        <f t="shared" si="8"/>
        <v>0</v>
      </c>
    </row>
    <row r="252" spans="1:41" ht="15.75">
      <c r="A252" s="89" t="s">
        <v>980</v>
      </c>
      <c r="B252" s="38"/>
      <c r="C252" s="38"/>
      <c r="D252" s="38"/>
      <c r="E252" s="38"/>
      <c r="F252" s="38"/>
      <c r="G252" s="38"/>
      <c r="H252" s="88"/>
      <c r="I252" s="141"/>
      <c r="J252" s="118"/>
      <c r="K252" s="118"/>
      <c r="L252" s="118"/>
      <c r="M252" s="118"/>
      <c r="N252" s="118"/>
      <c r="O252" s="118"/>
      <c r="P252" s="118"/>
      <c r="Q252" s="160">
        <f t="shared" si="8"/>
        <v>0</v>
      </c>
    </row>
    <row r="253" spans="1:41">
      <c r="A253" s="91"/>
      <c r="B253" s="92"/>
      <c r="C253" s="92"/>
      <c r="D253" s="92"/>
      <c r="E253" s="92"/>
      <c r="F253" s="92"/>
      <c r="G253" s="92"/>
      <c r="H253" s="92"/>
      <c r="I253" s="141"/>
      <c r="J253" s="118"/>
      <c r="K253" s="118"/>
      <c r="L253" s="118"/>
      <c r="M253" s="118"/>
      <c r="N253" s="118"/>
      <c r="O253" s="118"/>
      <c r="P253" s="118"/>
      <c r="Q253" s="160">
        <f t="shared" si="8"/>
        <v>0</v>
      </c>
    </row>
    <row r="254" spans="1:41">
      <c r="A254" s="95"/>
      <c r="B254" s="96" t="s">
        <v>685</v>
      </c>
      <c r="C254" s="96"/>
      <c r="D254" s="96"/>
      <c r="E254" s="96"/>
      <c r="F254" s="96"/>
      <c r="G254" s="96"/>
      <c r="H254" s="97"/>
      <c r="I254" s="141"/>
      <c r="J254" s="118"/>
      <c r="K254" s="118"/>
      <c r="L254" s="118"/>
      <c r="M254" s="118"/>
      <c r="N254" s="118"/>
      <c r="O254" s="118"/>
      <c r="P254" s="118"/>
      <c r="Q254" s="160">
        <f t="shared" si="8"/>
        <v>0</v>
      </c>
    </row>
    <row r="255" spans="1:41">
      <c r="A255" s="95"/>
      <c r="B255" s="96" t="s">
        <v>686</v>
      </c>
      <c r="C255" s="96"/>
      <c r="D255" s="647" t="s">
        <v>687</v>
      </c>
      <c r="E255" s="648"/>
      <c r="F255" s="648"/>
      <c r="G255" s="648"/>
      <c r="H255" s="101" t="s">
        <v>59</v>
      </c>
      <c r="I255" s="141"/>
      <c r="J255" s="118"/>
      <c r="K255" s="118"/>
      <c r="L255" s="118"/>
      <c r="M255" s="118"/>
      <c r="N255" s="118"/>
      <c r="O255" s="118"/>
      <c r="P255" s="118"/>
      <c r="Q255" s="160">
        <f t="shared" si="8"/>
        <v>0</v>
      </c>
    </row>
    <row r="256" spans="1:41" ht="36">
      <c r="A256" s="95"/>
      <c r="B256" s="102" t="s">
        <v>688</v>
      </c>
      <c r="C256" s="103" t="s">
        <v>689</v>
      </c>
      <c r="D256" s="104" t="s">
        <v>690</v>
      </c>
      <c r="E256" s="105" t="s">
        <v>9</v>
      </c>
      <c r="F256" s="102" t="s">
        <v>691</v>
      </c>
      <c r="G256" s="106" t="s">
        <v>692</v>
      </c>
      <c r="H256" s="107" t="s">
        <v>693</v>
      </c>
      <c r="I256" s="141"/>
      <c r="J256" s="118"/>
      <c r="K256" s="118"/>
      <c r="L256" s="118"/>
      <c r="M256" s="118"/>
      <c r="N256" s="118"/>
      <c r="O256" s="118"/>
      <c r="P256" s="118"/>
      <c r="Q256" s="160">
        <f t="shared" si="8"/>
        <v>0</v>
      </c>
    </row>
    <row r="257" spans="1:41" ht="15.75" customHeight="1">
      <c r="A257" s="115" t="s">
        <v>653</v>
      </c>
      <c r="B257" s="111">
        <f>('Pivot Table for Data Exchange'!$K$7)*100</f>
        <v>0</v>
      </c>
      <c r="C257" s="111">
        <f>('Pivot Table for Data Exchange'!$K$10)*100</f>
        <v>0</v>
      </c>
      <c r="D257" s="112">
        <f>SUM(E257:G257)</f>
        <v>0</v>
      </c>
      <c r="E257" s="111">
        <f>('Pivot Table for Data Exchange'!$K$13)*100</f>
        <v>0</v>
      </c>
      <c r="F257" s="111">
        <f>('Pivot Table for Data Exchange'!$K$16)*100</f>
        <v>0</v>
      </c>
      <c r="G257" s="142">
        <f>('Pivot Table for Data Exchange'!$K$19)*100</f>
        <v>0</v>
      </c>
      <c r="H257" s="120">
        <f>('Pivot Table for Data Exchange'!$K$22)*100</f>
        <v>0</v>
      </c>
      <c r="I257" s="118"/>
      <c r="J257" s="143"/>
      <c r="K257" s="143"/>
      <c r="L257" s="143"/>
      <c r="M257" s="143"/>
      <c r="N257" s="143"/>
      <c r="O257" s="143"/>
      <c r="P257" s="143"/>
      <c r="Q257" s="160">
        <f t="shared" si="8"/>
        <v>0</v>
      </c>
      <c r="R257" s="160"/>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row>
    <row r="258" spans="1:41" ht="15.75" customHeight="1">
      <c r="A258" s="118" t="s">
        <v>654</v>
      </c>
      <c r="B258" s="111">
        <f>('Pivot Table for Data Exchange'!$K$43)*100</f>
        <v>0</v>
      </c>
      <c r="C258" s="111">
        <f>('Pivot Table for Data Exchange'!$K$46)*100</f>
        <v>0</v>
      </c>
      <c r="D258" s="112">
        <f>SUM(E258:G258)</f>
        <v>0</v>
      </c>
      <c r="E258" s="111">
        <f>('Pivot Table for Data Exchange'!$K$49)*100</f>
        <v>0</v>
      </c>
      <c r="F258" s="111">
        <f>('Pivot Table for Data Exchange'!$K$52)*100</f>
        <v>0</v>
      </c>
      <c r="G258" s="119">
        <f>('Pivot Table for Data Exchange'!$K$55)*100</f>
        <v>0</v>
      </c>
      <c r="H258" s="111">
        <f>('Pivot Table for Data Exchange'!$K$58)*100</f>
        <v>0</v>
      </c>
      <c r="I258" s="118"/>
      <c r="J258" s="143"/>
      <c r="K258" s="143"/>
      <c r="L258" s="143"/>
      <c r="M258" s="143"/>
      <c r="N258" s="143"/>
      <c r="O258" s="143"/>
      <c r="P258" s="143"/>
      <c r="Q258" s="160">
        <f t="shared" si="8"/>
        <v>0</v>
      </c>
      <c r="R258" s="160"/>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row>
    <row r="259" spans="1:41" ht="15.75" customHeight="1">
      <c r="A259" s="118" t="s">
        <v>655</v>
      </c>
      <c r="B259" s="111">
        <f>('Pivot Table for Data Exchange'!$K$79)*100</f>
        <v>0</v>
      </c>
      <c r="C259" s="111">
        <f>('Pivot Table for Data Exchange'!$K$82)*100</f>
        <v>0</v>
      </c>
      <c r="D259" s="112">
        <f>SUM(E259:G259)</f>
        <v>0</v>
      </c>
      <c r="E259" s="111">
        <f>('Pivot Table for Data Exchange'!$K$85)*100</f>
        <v>0</v>
      </c>
      <c r="F259" s="111">
        <f>('Pivot Table for Data Exchange'!$K$88)*100</f>
        <v>0</v>
      </c>
      <c r="G259" s="119">
        <f>('Pivot Table for Data Exchange'!$K$91)*100</f>
        <v>0</v>
      </c>
      <c r="H259" s="111">
        <f>('Pivot Table for Data Exchange'!$K$94)*100</f>
        <v>0</v>
      </c>
      <c r="I259" s="118"/>
      <c r="J259" s="143"/>
      <c r="K259" s="143"/>
      <c r="L259" s="143"/>
      <c r="M259" s="143"/>
      <c r="N259" s="143"/>
      <c r="O259" s="143"/>
      <c r="P259" s="143"/>
      <c r="Q259" s="160">
        <f t="shared" si="8"/>
        <v>0</v>
      </c>
      <c r="R259" s="160"/>
      <c r="S259" s="161"/>
      <c r="T259" s="167"/>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row>
    <row r="260" spans="1:41" ht="15.75" customHeight="1">
      <c r="A260" s="118" t="s">
        <v>695</v>
      </c>
      <c r="B260" s="111">
        <f>('Pivot Table for Data Exchange'!$K$115)*100</f>
        <v>78.468255101654989</v>
      </c>
      <c r="C260" s="111">
        <f>('Pivot Table for Data Exchange'!$K$118)*100</f>
        <v>1.5518005905460754</v>
      </c>
      <c r="D260" s="112">
        <f>SUM(E260:G260)</f>
        <v>19.027783289777254</v>
      </c>
      <c r="E260" s="111">
        <f>('Pivot Table for Data Exchange'!$K$121)*100</f>
        <v>15.411040130446372</v>
      </c>
      <c r="F260" s="111">
        <f>('Pivot Table for Data Exchange'!$K$124)*100</f>
        <v>1.7812004603621961E-2</v>
      </c>
      <c r="G260" s="119">
        <f>('Pivot Table for Data Exchange'!$K$127)*100</f>
        <v>3.5989311547272593</v>
      </c>
      <c r="H260" s="111">
        <f>('Pivot Table for Data Exchange'!$K$130)*100</f>
        <v>0.95216101802168618</v>
      </c>
      <c r="I260" s="118"/>
      <c r="J260" s="143"/>
      <c r="K260" s="143"/>
      <c r="L260" s="143"/>
      <c r="M260" s="143"/>
      <c r="N260" s="143"/>
      <c r="O260" s="143"/>
      <c r="P260" s="143"/>
      <c r="Q260" s="160">
        <f t="shared" si="8"/>
        <v>100</v>
      </c>
      <c r="R260" s="160"/>
      <c r="S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row>
    <row r="261" spans="1:41" ht="15.75" customHeight="1">
      <c r="A261" s="118"/>
      <c r="B261" s="111"/>
      <c r="C261" s="111"/>
      <c r="D261" s="112"/>
      <c r="E261" s="111"/>
      <c r="F261" s="111"/>
      <c r="G261" s="119"/>
      <c r="H261" s="111"/>
      <c r="I261" s="118"/>
      <c r="J261" s="143"/>
      <c r="K261" s="143"/>
      <c r="L261" s="143"/>
      <c r="M261" s="143"/>
      <c r="N261" s="143"/>
      <c r="O261" s="143"/>
      <c r="P261" s="143"/>
      <c r="Q261" s="160">
        <f t="shared" si="8"/>
        <v>0</v>
      </c>
      <c r="R261" s="160"/>
      <c r="S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row>
    <row r="262" spans="1:41" ht="15.75" customHeight="1">
      <c r="A262" s="118" t="s">
        <v>657</v>
      </c>
      <c r="B262" s="111">
        <f>('Pivot Table for Data Exchange'!$K$151)*100</f>
        <v>0</v>
      </c>
      <c r="C262" s="111">
        <f>('Pivot Table for Data Exchange'!$K$154)*100</f>
        <v>0</v>
      </c>
      <c r="D262" s="112">
        <f>SUM(E262:G262)</f>
        <v>0</v>
      </c>
      <c r="E262" s="111">
        <f>('Pivot Table for Data Exchange'!$K$157)*100</f>
        <v>0</v>
      </c>
      <c r="F262" s="111">
        <f>('Pivot Table for Data Exchange'!$K$160)*100</f>
        <v>0</v>
      </c>
      <c r="G262" s="119">
        <f>('Pivot Table for Data Exchange'!$K$163)*100</f>
        <v>0</v>
      </c>
      <c r="H262" s="111">
        <f>('Pivot Table for Data Exchange'!$K$166)*100</f>
        <v>0</v>
      </c>
      <c r="I262" s="118"/>
      <c r="J262" s="143"/>
      <c r="K262" s="143"/>
      <c r="L262" s="143"/>
      <c r="M262" s="143"/>
      <c r="N262" s="143"/>
      <c r="O262" s="143"/>
      <c r="P262" s="143"/>
      <c r="Q262" s="160">
        <f t="shared" si="8"/>
        <v>0</v>
      </c>
      <c r="R262" s="160"/>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row>
    <row r="263" spans="1:41" ht="15.75" customHeight="1">
      <c r="A263" s="118" t="s">
        <v>658</v>
      </c>
      <c r="B263" s="111">
        <f>('Pivot Table for Data Exchange'!$K$187)*100</f>
        <v>0</v>
      </c>
      <c r="C263" s="111">
        <f>('Pivot Table for Data Exchange'!$K$190)*100</f>
        <v>0</v>
      </c>
      <c r="D263" s="112">
        <f>SUM(E263:G263)</f>
        <v>0</v>
      </c>
      <c r="E263" s="111">
        <f>('Pivot Table for Data Exchange'!$K$193)*100</f>
        <v>0</v>
      </c>
      <c r="F263" s="111">
        <f>('Pivot Table for Data Exchange'!$K$196)*100</f>
        <v>0</v>
      </c>
      <c r="G263" s="119">
        <f>('Pivot Table for Data Exchange'!$K$199)*100</f>
        <v>0</v>
      </c>
      <c r="H263" s="111">
        <f>('Pivot Table for Data Exchange'!$K$202)*100</f>
        <v>0</v>
      </c>
      <c r="I263" s="118"/>
      <c r="J263" s="143"/>
      <c r="K263" s="143"/>
      <c r="L263" s="143"/>
      <c r="M263" s="143"/>
      <c r="N263" s="143"/>
      <c r="O263" s="143"/>
      <c r="P263" s="143"/>
      <c r="Q263" s="160">
        <f t="shared" si="8"/>
        <v>0</v>
      </c>
      <c r="R263" s="160"/>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row>
    <row r="264" spans="1:41" ht="15.75" customHeight="1">
      <c r="A264" s="118" t="s">
        <v>659</v>
      </c>
      <c r="B264" s="111">
        <f>('Pivot Table for Data Exchange'!$K$223)*100</f>
        <v>0</v>
      </c>
      <c r="C264" s="111">
        <f>('Pivot Table for Data Exchange'!$K$226)*100</f>
        <v>0</v>
      </c>
      <c r="D264" s="112">
        <f>SUM(E264:G264)</f>
        <v>0</v>
      </c>
      <c r="E264" s="111">
        <f>('Pivot Table for Data Exchange'!$K$229)*100</f>
        <v>0</v>
      </c>
      <c r="F264" s="111">
        <f>('Pivot Table for Data Exchange'!$K$232)*100</f>
        <v>0</v>
      </c>
      <c r="G264" s="119">
        <f>('Pivot Table for Data Exchange'!$K$235)*100</f>
        <v>0</v>
      </c>
      <c r="H264" s="111">
        <f>('Pivot Table for Data Exchange'!$K$238)*100</f>
        <v>0</v>
      </c>
      <c r="I264" s="118"/>
      <c r="J264" s="143"/>
      <c r="K264" s="143"/>
      <c r="L264" s="143"/>
      <c r="M264" s="143"/>
      <c r="N264" s="143"/>
      <c r="O264" s="143"/>
      <c r="P264" s="143"/>
      <c r="Q264" s="160">
        <f t="shared" si="8"/>
        <v>0</v>
      </c>
      <c r="R264" s="160"/>
      <c r="S264" s="161"/>
      <c r="T264" s="167"/>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row>
    <row r="265" spans="1:41" ht="15.75" customHeight="1">
      <c r="A265" s="118" t="s">
        <v>700</v>
      </c>
      <c r="B265" s="111">
        <f>('Pivot Table for Data Exchange'!$K$259)*100</f>
        <v>0</v>
      </c>
      <c r="C265" s="111">
        <f>('Pivot Table for Data Exchange'!$K$262)*100</f>
        <v>0</v>
      </c>
      <c r="D265" s="112">
        <f>SUM(E265:G265)</f>
        <v>0</v>
      </c>
      <c r="E265" s="111">
        <f>('Pivot Table for Data Exchange'!$K$265)*100</f>
        <v>0</v>
      </c>
      <c r="F265" s="111">
        <f>('Pivot Table for Data Exchange'!$K$268)*100</f>
        <v>0</v>
      </c>
      <c r="G265" s="119">
        <f>('Pivot Table for Data Exchange'!$K$271)*100</f>
        <v>0</v>
      </c>
      <c r="H265" s="120">
        <f>('Pivot Table for Data Exchange'!$K$274)*100</f>
        <v>0</v>
      </c>
      <c r="I265" s="118"/>
      <c r="J265" s="143"/>
      <c r="K265" s="143"/>
      <c r="L265" s="143"/>
      <c r="M265" s="143"/>
      <c r="N265" s="143"/>
      <c r="O265" s="143"/>
      <c r="P265" s="143"/>
      <c r="Q265" s="160">
        <f t="shared" si="8"/>
        <v>0</v>
      </c>
      <c r="R265" s="160"/>
      <c r="S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row>
    <row r="266" spans="1:41" ht="15.75" customHeight="1">
      <c r="A266" s="118"/>
      <c r="B266" s="111"/>
      <c r="C266" s="111"/>
      <c r="D266" s="112"/>
      <c r="E266" s="111"/>
      <c r="F266" s="111"/>
      <c r="G266" s="119"/>
      <c r="H266" s="111"/>
      <c r="I266" s="118"/>
      <c r="J266" s="143"/>
      <c r="K266" s="143"/>
      <c r="L266" s="143"/>
      <c r="M266" s="143"/>
      <c r="N266" s="143"/>
      <c r="O266" s="143"/>
      <c r="P266" s="143"/>
      <c r="Q266" s="160">
        <f t="shared" si="8"/>
        <v>0</v>
      </c>
      <c r="R266" s="160"/>
      <c r="S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row>
    <row r="267" spans="1:41" ht="15.75" customHeight="1">
      <c r="A267" s="118" t="s">
        <v>703</v>
      </c>
      <c r="B267" s="144">
        <f>('Pivot Table for Data Exchange'!$K$295)*100</f>
        <v>0</v>
      </c>
      <c r="C267" s="111">
        <f>('Pivot Table for Data Exchange'!$K$298)*100</f>
        <v>0</v>
      </c>
      <c r="D267" s="112">
        <f>SUM(E267:G267)</f>
        <v>0</v>
      </c>
      <c r="E267" s="111">
        <f>('Pivot Table for Data Exchange'!$K$301)*100</f>
        <v>0</v>
      </c>
      <c r="F267" s="111">
        <f>('Pivot Table for Data Exchange'!$K$304)*100</f>
        <v>0</v>
      </c>
      <c r="G267" s="119">
        <f>('Pivot Table for Data Exchange'!$K$307)*100</f>
        <v>0</v>
      </c>
      <c r="H267" s="111">
        <f>('Pivot Table for Data Exchange'!$K$310)*100</f>
        <v>0</v>
      </c>
      <c r="I267" s="118"/>
      <c r="J267" s="143"/>
      <c r="K267" s="143"/>
      <c r="L267" s="143"/>
      <c r="M267" s="143"/>
      <c r="N267" s="143"/>
      <c r="O267" s="143"/>
      <c r="P267" s="143"/>
      <c r="Q267" s="160">
        <f t="shared" ref="Q267:Q330" si="14">SUM(B267,C267,D267,H267)</f>
        <v>0</v>
      </c>
      <c r="R267" s="160"/>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row>
    <row r="268" spans="1:41" ht="15.75" customHeight="1">
      <c r="A268" s="118" t="s">
        <v>662</v>
      </c>
      <c r="B268" s="111">
        <f>('Pivot Table for Data Exchange'!$K$331)*100</f>
        <v>0</v>
      </c>
      <c r="C268" s="111">
        <f>('Pivot Table for Data Exchange'!$K$334)*100</f>
        <v>0</v>
      </c>
      <c r="D268" s="112">
        <f>SUM(E268:G268)</f>
        <v>0</v>
      </c>
      <c r="E268" s="111">
        <f>('Pivot Table for Data Exchange'!$K$337)*100</f>
        <v>0</v>
      </c>
      <c r="F268" s="111">
        <f>('Pivot Table for Data Exchange'!$K$340)*100</f>
        <v>0</v>
      </c>
      <c r="G268" s="119">
        <f>('Pivot Table for Data Exchange'!$K$343)*100</f>
        <v>0</v>
      </c>
      <c r="H268" s="111">
        <f>('Pivot Table for Data Exchange'!$K$346)*100</f>
        <v>0</v>
      </c>
      <c r="I268" s="118"/>
      <c r="J268" s="143"/>
      <c r="K268" s="143"/>
      <c r="L268" s="143"/>
      <c r="M268" s="143"/>
      <c r="N268" s="143"/>
      <c r="O268" s="143"/>
      <c r="P268" s="143"/>
      <c r="Q268" s="160">
        <f t="shared" si="14"/>
        <v>0</v>
      </c>
      <c r="R268" s="160"/>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row>
    <row r="269" spans="1:41" ht="15.75" customHeight="1">
      <c r="A269" s="118" t="s">
        <v>663</v>
      </c>
      <c r="B269" s="111">
        <f>('Pivot Table for Data Exchange'!$K$367)*100</f>
        <v>81.057428034138582</v>
      </c>
      <c r="C269" s="111">
        <f>('Pivot Table for Data Exchange'!$K$370)*100</f>
        <v>12.783368808249469</v>
      </c>
      <c r="D269" s="112">
        <f>SUM(E269:G269)</f>
        <v>6.1592031576119526</v>
      </c>
      <c r="E269" s="111">
        <f>('Pivot Table for Data Exchange'!$K$373)*100</f>
        <v>6.1592031576119526</v>
      </c>
      <c r="F269" s="111">
        <f>('Pivot Table for Data Exchange'!$K$376)*100</f>
        <v>0</v>
      </c>
      <c r="G269" s="119">
        <f>('Pivot Table for Data Exchange'!$K$379)*100</f>
        <v>0</v>
      </c>
      <c r="H269" s="111">
        <f>('Pivot Table for Data Exchange'!$K$382)*100</f>
        <v>0</v>
      </c>
      <c r="I269" s="118"/>
      <c r="J269" s="143"/>
      <c r="K269" s="143"/>
      <c r="L269" s="143"/>
      <c r="M269" s="143"/>
      <c r="N269" s="143"/>
      <c r="O269" s="143"/>
      <c r="P269" s="143"/>
      <c r="Q269" s="160">
        <f t="shared" si="14"/>
        <v>100</v>
      </c>
      <c r="R269" s="160"/>
      <c r="S269" s="161"/>
      <c r="T269" s="167"/>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row>
    <row r="270" spans="1:41" ht="15.75" customHeight="1">
      <c r="A270" s="118" t="s">
        <v>664</v>
      </c>
      <c r="B270" s="111">
        <f>('Pivot Table for Data Exchange'!$K$403)*100</f>
        <v>0</v>
      </c>
      <c r="C270" s="111">
        <f>('Pivot Table for Data Exchange'!$K$406)*100</f>
        <v>0</v>
      </c>
      <c r="D270" s="112">
        <f>SUM(E270:G270)</f>
        <v>0</v>
      </c>
      <c r="E270" s="111">
        <f>('Pivot Table for Data Exchange'!$K$409)*100</f>
        <v>0</v>
      </c>
      <c r="F270" s="111">
        <f>('Pivot Table for Data Exchange'!$K$412)*100</f>
        <v>0</v>
      </c>
      <c r="G270" s="119">
        <f>('Pivot Table for Data Exchange'!$K$415)*100</f>
        <v>0</v>
      </c>
      <c r="H270" s="111">
        <f>('Pivot Table for Data Exchange'!$K$418)*100</f>
        <v>0</v>
      </c>
      <c r="I270" s="118"/>
      <c r="J270" s="143"/>
      <c r="K270" s="143"/>
      <c r="L270" s="143"/>
      <c r="M270" s="143"/>
      <c r="N270" s="143"/>
      <c r="O270" s="143"/>
      <c r="P270" s="143"/>
      <c r="Q270" s="160">
        <f t="shared" si="14"/>
        <v>0</v>
      </c>
      <c r="R270" s="160"/>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row>
    <row r="271" spans="1:41" ht="15.75" customHeight="1">
      <c r="A271" s="118"/>
      <c r="B271" s="111"/>
      <c r="C271" s="111"/>
      <c r="D271" s="112"/>
      <c r="E271" s="111"/>
      <c r="F271" s="111"/>
      <c r="G271" s="119"/>
      <c r="H271" s="111"/>
      <c r="I271" s="118"/>
      <c r="J271" s="143"/>
      <c r="K271" s="143"/>
      <c r="L271" s="143"/>
      <c r="M271" s="143"/>
      <c r="N271" s="143"/>
      <c r="O271" s="143"/>
      <c r="P271" s="143"/>
      <c r="Q271" s="160">
        <f t="shared" si="14"/>
        <v>0</v>
      </c>
      <c r="R271" s="160"/>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row>
    <row r="272" spans="1:41" ht="15.75" customHeight="1">
      <c r="A272" s="118" t="s">
        <v>665</v>
      </c>
      <c r="B272" s="111">
        <f>('Pivot Table for Data Exchange'!$K$439)*100</f>
        <v>0</v>
      </c>
      <c r="C272" s="111">
        <f>('Pivot Table for Data Exchange'!$K$442)*100</f>
        <v>0</v>
      </c>
      <c r="D272" s="112">
        <f>SUM(E272:G272)</f>
        <v>0</v>
      </c>
      <c r="E272" s="111">
        <f>('Pivot Table for Data Exchange'!$K$445)*100</f>
        <v>0</v>
      </c>
      <c r="F272" s="111">
        <f>('Pivot Table for Data Exchange'!$K$448)*100</f>
        <v>0</v>
      </c>
      <c r="G272" s="119">
        <f>('Pivot Table for Data Exchange'!$K$451)*100</f>
        <v>0</v>
      </c>
      <c r="H272" s="111">
        <f>('Pivot Table for Data Exchange'!$K$454)*100</f>
        <v>0</v>
      </c>
      <c r="I272" s="118"/>
      <c r="J272" s="143"/>
      <c r="K272" s="143"/>
      <c r="L272" s="143"/>
      <c r="M272" s="143"/>
      <c r="N272" s="143"/>
      <c r="O272" s="143"/>
      <c r="P272" s="143"/>
      <c r="Q272" s="160">
        <f t="shared" si="14"/>
        <v>0</v>
      </c>
      <c r="R272" s="160"/>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row>
    <row r="273" spans="1:41" ht="15.75" customHeight="1">
      <c r="A273" s="118" t="s">
        <v>666</v>
      </c>
      <c r="B273" s="111">
        <f>('Pivot Table for Data Exchange'!$K$475)*100</f>
        <v>81.759536750139688</v>
      </c>
      <c r="C273" s="111">
        <f>('Pivot Table for Data Exchange'!$K$478)*100</f>
        <v>1.0185722344159784</v>
      </c>
      <c r="D273" s="112">
        <f>SUM(E273:G273)</f>
        <v>17.221891015444335</v>
      </c>
      <c r="E273" s="111">
        <f>('Pivot Table for Data Exchange'!$K$481)*100</f>
        <v>17.023657075334246</v>
      </c>
      <c r="F273" s="111">
        <f>('Pivot Table for Data Exchange'!$K$484)*100</f>
        <v>0.17297014059504937</v>
      </c>
      <c r="G273" s="119">
        <f>('Pivot Table for Data Exchange'!$K$487)*100</f>
        <v>2.5263799515041985E-2</v>
      </c>
      <c r="H273" s="111">
        <f>('Pivot Table for Data Exchange'!$K$490)*100</f>
        <v>0</v>
      </c>
      <c r="I273" s="118"/>
      <c r="J273" s="143"/>
      <c r="K273" s="143"/>
      <c r="L273" s="143"/>
      <c r="M273" s="143"/>
      <c r="N273" s="143"/>
      <c r="O273" s="143"/>
      <c r="P273" s="143"/>
      <c r="Q273" s="160">
        <f t="shared" si="14"/>
        <v>100</v>
      </c>
      <c r="R273" s="160"/>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row>
    <row r="274" spans="1:41" ht="15.75" customHeight="1">
      <c r="A274" s="118" t="s">
        <v>667</v>
      </c>
      <c r="B274" s="111">
        <f>('Pivot Table for Data Exchange'!$K$511)*100</f>
        <v>0</v>
      </c>
      <c r="C274" s="111">
        <f>('Pivot Table for Data Exchange'!$K$514)*100</f>
        <v>0</v>
      </c>
      <c r="D274" s="112">
        <f>SUM(E274:G274)</f>
        <v>0</v>
      </c>
      <c r="E274" s="111">
        <f>('Pivot Table for Data Exchange'!$K$517)*100</f>
        <v>0</v>
      </c>
      <c r="F274" s="111">
        <f>('Pivot Table for Data Exchange'!$K$520)*100</f>
        <v>0</v>
      </c>
      <c r="G274" s="119">
        <f>('Pivot Table for Data Exchange'!$K$523)*100</f>
        <v>0</v>
      </c>
      <c r="H274" s="111">
        <f>('Pivot Table for Data Exchange'!$K$526)*100</f>
        <v>0</v>
      </c>
      <c r="I274" s="118"/>
      <c r="J274" s="143"/>
      <c r="K274" s="143"/>
      <c r="L274" s="143"/>
      <c r="M274" s="143"/>
      <c r="N274" s="143"/>
      <c r="O274" s="143"/>
      <c r="P274" s="143"/>
      <c r="Q274" s="160">
        <f t="shared" si="14"/>
        <v>0</v>
      </c>
      <c r="R274" s="160"/>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row>
    <row r="275" spans="1:41" ht="15.75" customHeight="1">
      <c r="A275" s="91" t="s">
        <v>668</v>
      </c>
      <c r="B275" s="122">
        <f>('Pivot Table for Data Exchange'!$K$547)*100</f>
        <v>68.618274796216056</v>
      </c>
      <c r="C275" s="122">
        <f>('Pivot Table for Data Exchange'!$K$550)*100</f>
        <v>13.24378634230361</v>
      </c>
      <c r="D275" s="123">
        <f>SUM(E275:G275)</f>
        <v>18.137938861480329</v>
      </c>
      <c r="E275" s="122">
        <f>('Pivot Table for Data Exchange'!$K$553)*100</f>
        <v>17.31812992769926</v>
      </c>
      <c r="F275" s="122">
        <f>('Pivot Table for Data Exchange'!$K$556)*100</f>
        <v>0</v>
      </c>
      <c r="G275" s="124">
        <f>('Pivot Table for Data Exchange'!$K$559)*100</f>
        <v>0.81980893378106823</v>
      </c>
      <c r="H275" s="133">
        <f>('Pivot Table for Data Exchange'!$K$562)*100</f>
        <v>0</v>
      </c>
      <c r="I275" s="118"/>
      <c r="J275" s="143"/>
      <c r="K275" s="143"/>
      <c r="L275" s="143"/>
      <c r="M275" s="143"/>
      <c r="N275" s="143"/>
      <c r="O275" s="143"/>
      <c r="P275" s="143"/>
      <c r="Q275" s="160">
        <f t="shared" si="14"/>
        <v>100</v>
      </c>
      <c r="R275" s="160"/>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row>
    <row r="276" spans="1:41" s="166" customFormat="1" ht="18" customHeight="1">
      <c r="A276" s="58" t="s">
        <v>697</v>
      </c>
      <c r="B276" s="126"/>
      <c r="C276" s="126"/>
      <c r="D276" s="127"/>
      <c r="E276" s="126"/>
      <c r="F276" s="127"/>
      <c r="G276" s="127"/>
      <c r="H276" s="126"/>
      <c r="I276" s="58"/>
      <c r="J276" s="126"/>
      <c r="K276" s="126"/>
      <c r="L276" s="127"/>
      <c r="M276" s="126"/>
      <c r="N276" s="127"/>
      <c r="O276" s="127"/>
      <c r="P276" s="126"/>
      <c r="Q276" s="160">
        <f t="shared" si="14"/>
        <v>0</v>
      </c>
      <c r="R276" s="164"/>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row>
    <row r="277" spans="1:41" s="166" customFormat="1" ht="27" customHeight="1">
      <c r="A277" s="643" t="s">
        <v>704</v>
      </c>
      <c r="B277" s="651"/>
      <c r="C277" s="651"/>
      <c r="D277" s="651"/>
      <c r="E277" s="651"/>
      <c r="F277" s="651"/>
      <c r="G277" s="651"/>
      <c r="H277" s="651"/>
      <c r="I277" s="58"/>
      <c r="J277" s="60"/>
      <c r="K277" s="60"/>
      <c r="L277" s="60"/>
      <c r="M277" s="60"/>
      <c r="N277" s="60"/>
      <c r="O277" s="60"/>
      <c r="P277" s="136"/>
      <c r="Q277" s="160">
        <f t="shared" si="14"/>
        <v>0</v>
      </c>
      <c r="R277" s="169"/>
    </row>
    <row r="278" spans="1:41" s="166" customFormat="1" ht="13.5" customHeight="1">
      <c r="A278" s="118"/>
      <c r="B278" s="145"/>
      <c r="C278" s="145"/>
      <c r="D278" s="146"/>
      <c r="E278" s="145"/>
      <c r="F278" s="146"/>
      <c r="G278" s="146"/>
      <c r="H278" s="145"/>
      <c r="I278" s="134"/>
      <c r="J278" s="60"/>
      <c r="K278" s="60"/>
      <c r="L278" s="60"/>
      <c r="M278" s="60"/>
      <c r="N278" s="60"/>
      <c r="O278" s="60"/>
      <c r="P278" s="60"/>
      <c r="Q278" s="160">
        <f t="shared" si="14"/>
        <v>0</v>
      </c>
      <c r="R278" s="169"/>
    </row>
    <row r="279" spans="1:41" s="166" customFormat="1">
      <c r="A279" s="60"/>
      <c r="B279" s="60"/>
      <c r="C279" s="60"/>
      <c r="D279" s="60"/>
      <c r="E279" s="60"/>
      <c r="F279" s="60"/>
      <c r="G279" s="60"/>
      <c r="H279" s="64" t="s">
        <v>1034</v>
      </c>
      <c r="I279" s="147"/>
      <c r="J279" s="62"/>
      <c r="K279" s="62"/>
      <c r="L279" s="62"/>
      <c r="M279" s="62"/>
      <c r="N279" s="62"/>
      <c r="O279" s="62"/>
      <c r="P279" s="62"/>
      <c r="Q279" s="160">
        <f t="shared" si="14"/>
        <v>0</v>
      </c>
      <c r="R279" s="169"/>
    </row>
    <row r="280" spans="1:41" ht="18">
      <c r="A280" s="31" t="s">
        <v>1020</v>
      </c>
      <c r="B280" s="86"/>
      <c r="C280" s="86"/>
      <c r="D280" s="86"/>
      <c r="E280" s="86"/>
      <c r="F280" s="86"/>
      <c r="G280" s="86"/>
      <c r="H280" s="87"/>
      <c r="I280" s="141"/>
      <c r="J280" s="118"/>
      <c r="K280" s="118"/>
      <c r="L280" s="118"/>
      <c r="M280" s="118"/>
      <c r="N280" s="118"/>
      <c r="O280" s="118"/>
      <c r="P280" s="118"/>
      <c r="Q280" s="160">
        <f t="shared" si="14"/>
        <v>0</v>
      </c>
    </row>
    <row r="281" spans="1:41">
      <c r="A281" s="37"/>
      <c r="B281" s="38"/>
      <c r="C281" s="38"/>
      <c r="D281" s="38"/>
      <c r="E281" s="38"/>
      <c r="F281" s="38"/>
      <c r="G281" s="38"/>
      <c r="H281" s="88"/>
      <c r="I281" s="141"/>
      <c r="J281" s="118"/>
      <c r="K281" s="118"/>
      <c r="L281" s="118"/>
      <c r="M281" s="118"/>
      <c r="N281" s="118"/>
      <c r="O281" s="118"/>
      <c r="P281" s="118"/>
      <c r="Q281" s="160">
        <f t="shared" si="14"/>
        <v>0</v>
      </c>
    </row>
    <row r="282" spans="1:41" ht="15.75">
      <c r="A282" s="89" t="s">
        <v>683</v>
      </c>
      <c r="B282" s="38"/>
      <c r="C282" s="38"/>
      <c r="D282" s="38"/>
      <c r="E282" s="38"/>
      <c r="F282" s="38"/>
      <c r="G282" s="38"/>
      <c r="H282" s="88"/>
      <c r="I282" s="141"/>
      <c r="J282" s="118"/>
      <c r="K282" s="118"/>
      <c r="L282" s="118"/>
      <c r="M282" s="118"/>
      <c r="N282" s="118"/>
      <c r="O282" s="118"/>
      <c r="P282" s="118"/>
      <c r="Q282" s="160">
        <f t="shared" si="14"/>
        <v>0</v>
      </c>
    </row>
    <row r="283" spans="1:41" ht="15.75">
      <c r="A283" s="89" t="s">
        <v>979</v>
      </c>
      <c r="B283" s="38"/>
      <c r="C283" s="38"/>
      <c r="D283" s="38"/>
      <c r="E283" s="38"/>
      <c r="F283" s="38"/>
      <c r="G283" s="38"/>
      <c r="H283" s="88"/>
      <c r="I283" s="141"/>
      <c r="J283" s="118"/>
      <c r="K283" s="118"/>
      <c r="L283" s="118"/>
      <c r="M283" s="118"/>
      <c r="N283" s="118"/>
      <c r="O283" s="118"/>
      <c r="P283" s="118"/>
      <c r="Q283" s="160">
        <f t="shared" si="14"/>
        <v>0</v>
      </c>
    </row>
    <row r="284" spans="1:41">
      <c r="A284" s="91"/>
      <c r="B284" s="92"/>
      <c r="C284" s="92"/>
      <c r="D284" s="92"/>
      <c r="E284" s="92"/>
      <c r="F284" s="92"/>
      <c r="G284" s="92"/>
      <c r="H284" s="92"/>
      <c r="I284" s="141"/>
      <c r="J284" s="118"/>
      <c r="K284" s="118"/>
      <c r="L284" s="118"/>
      <c r="M284" s="118"/>
      <c r="N284" s="118"/>
      <c r="O284" s="118"/>
      <c r="P284" s="118"/>
      <c r="Q284" s="160">
        <f t="shared" si="14"/>
        <v>0</v>
      </c>
    </row>
    <row r="285" spans="1:41">
      <c r="A285" s="95"/>
      <c r="B285" s="96" t="s">
        <v>685</v>
      </c>
      <c r="C285" s="96"/>
      <c r="D285" s="96"/>
      <c r="E285" s="96"/>
      <c r="F285" s="96"/>
      <c r="G285" s="96"/>
      <c r="H285" s="97"/>
      <c r="I285" s="141"/>
      <c r="J285" s="118"/>
      <c r="K285" s="118"/>
      <c r="L285" s="118"/>
      <c r="M285" s="118"/>
      <c r="N285" s="118"/>
      <c r="O285" s="118"/>
      <c r="P285" s="118"/>
      <c r="Q285" s="160">
        <f t="shared" si="14"/>
        <v>0</v>
      </c>
    </row>
    <row r="286" spans="1:41">
      <c r="A286" s="95"/>
      <c r="B286" s="96" t="s">
        <v>686</v>
      </c>
      <c r="C286" s="96"/>
      <c r="D286" s="647" t="s">
        <v>687</v>
      </c>
      <c r="E286" s="648"/>
      <c r="F286" s="648"/>
      <c r="G286" s="648"/>
      <c r="H286" s="101" t="s">
        <v>59</v>
      </c>
      <c r="I286" s="141"/>
      <c r="J286" s="118"/>
      <c r="K286" s="118"/>
      <c r="L286" s="118"/>
      <c r="M286" s="118"/>
      <c r="N286" s="118"/>
      <c r="O286" s="118"/>
      <c r="P286" s="118"/>
      <c r="Q286" s="160">
        <f t="shared" si="14"/>
        <v>0</v>
      </c>
    </row>
    <row r="287" spans="1:41" ht="36">
      <c r="A287" s="95"/>
      <c r="B287" s="102" t="s">
        <v>688</v>
      </c>
      <c r="C287" s="103" t="s">
        <v>689</v>
      </c>
      <c r="D287" s="104" t="s">
        <v>690</v>
      </c>
      <c r="E287" s="105" t="s">
        <v>9</v>
      </c>
      <c r="F287" s="102" t="s">
        <v>691</v>
      </c>
      <c r="G287" s="106" t="s">
        <v>692</v>
      </c>
      <c r="H287" s="107" t="s">
        <v>693</v>
      </c>
      <c r="I287" s="141"/>
      <c r="J287" s="118"/>
      <c r="K287" s="118"/>
      <c r="L287" s="118"/>
      <c r="M287" s="118"/>
      <c r="N287" s="118"/>
      <c r="O287" s="118"/>
      <c r="P287" s="118"/>
      <c r="Q287" s="160">
        <f t="shared" si="14"/>
        <v>0</v>
      </c>
    </row>
    <row r="288" spans="1:41" ht="15.75" customHeight="1">
      <c r="A288" s="115" t="s">
        <v>653</v>
      </c>
      <c r="B288" s="111">
        <f>('Pivot Table for Data Exchange'!$L$7)*100</f>
        <v>74.466635567754054</v>
      </c>
      <c r="C288" s="111">
        <f>('Pivot Table for Data Exchange'!$L$10)*100</f>
        <v>6.1773288926979033</v>
      </c>
      <c r="D288" s="112">
        <f>SUM(E288:G288)</f>
        <v>19.356035539548053</v>
      </c>
      <c r="E288" s="111">
        <f>('Pivot Table for Data Exchange'!$L$13)*100</f>
        <v>13.697913841547424</v>
      </c>
      <c r="F288" s="111">
        <f>('Pivot Table for Data Exchange'!$L$16)*100</f>
        <v>0.37796027294720058</v>
      </c>
      <c r="G288" s="113">
        <f>('Pivot Table for Data Exchange'!$L$19)*100</f>
        <v>5.2801614250534286</v>
      </c>
      <c r="H288" s="111">
        <f>('Pivot Table for Data Exchange'!$L$22)*100</f>
        <v>0</v>
      </c>
      <c r="I288" s="118"/>
      <c r="J288" s="143"/>
      <c r="K288" s="143"/>
      <c r="L288" s="143"/>
      <c r="M288" s="143"/>
      <c r="N288" s="143"/>
      <c r="O288" s="143"/>
      <c r="P288" s="143"/>
      <c r="Q288" s="160">
        <f>SUM(B288,C288,D288,H288)</f>
        <v>100</v>
      </c>
      <c r="R288" s="160"/>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row>
    <row r="289" spans="1:41" ht="15.75" customHeight="1">
      <c r="A289" s="118" t="s">
        <v>654</v>
      </c>
      <c r="B289" s="111">
        <f>('Pivot Table for Data Exchange'!$L$43)*100</f>
        <v>68.342841817827193</v>
      </c>
      <c r="C289" s="111">
        <f>('Pivot Table for Data Exchange'!$L$46)*100</f>
        <v>0</v>
      </c>
      <c r="D289" s="112">
        <f>SUM(E289:G289)</f>
        <v>31.657158182172811</v>
      </c>
      <c r="E289" s="111">
        <f>('Pivot Table for Data Exchange'!$L$49)*100</f>
        <v>31.657158182172811</v>
      </c>
      <c r="F289" s="111">
        <f>('Pivot Table for Data Exchange'!$L$52)*100</f>
        <v>0</v>
      </c>
      <c r="G289" s="119">
        <f>('Pivot Table for Data Exchange'!$L$55)*100</f>
        <v>0</v>
      </c>
      <c r="H289" s="111">
        <f>('Pivot Table for Data Exchange'!$L$58)*100</f>
        <v>0</v>
      </c>
      <c r="I289" s="118"/>
      <c r="J289" s="143"/>
      <c r="K289" s="143"/>
      <c r="L289" s="143"/>
      <c r="M289" s="143"/>
      <c r="N289" s="143"/>
      <c r="O289" s="143"/>
      <c r="P289" s="143"/>
      <c r="Q289" s="160">
        <f t="shared" si="14"/>
        <v>100</v>
      </c>
      <c r="R289" s="160"/>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row>
    <row r="290" spans="1:41" ht="15.75" customHeight="1">
      <c r="A290" s="118" t="s">
        <v>655</v>
      </c>
      <c r="B290" s="111">
        <f>('Pivot Table for Data Exchange'!$L$79)*100</f>
        <v>0</v>
      </c>
      <c r="C290" s="111">
        <f>('Pivot Table for Data Exchange'!$L$82)*100</f>
        <v>0</v>
      </c>
      <c r="D290" s="112">
        <f>SUM(E290:G290)</f>
        <v>0</v>
      </c>
      <c r="E290" s="111">
        <f>('Pivot Table for Data Exchange'!$L$85)*100</f>
        <v>0</v>
      </c>
      <c r="F290" s="111">
        <f>('Pivot Table for Data Exchange'!$L$88)*100</f>
        <v>0</v>
      </c>
      <c r="G290" s="119">
        <f>('Pivot Table for Data Exchange'!$L$91)*100</f>
        <v>0</v>
      </c>
      <c r="H290" s="111">
        <f>('Pivot Table for Data Exchange'!$L$94)*100</f>
        <v>0</v>
      </c>
      <c r="I290" s="118"/>
      <c r="J290" s="143"/>
      <c r="K290" s="143"/>
      <c r="L290" s="143"/>
      <c r="M290" s="143"/>
      <c r="N290" s="143"/>
      <c r="O290" s="143"/>
      <c r="P290" s="143"/>
      <c r="Q290" s="160">
        <f t="shared" si="14"/>
        <v>0</v>
      </c>
      <c r="R290" s="160"/>
      <c r="S290" s="161"/>
      <c r="T290" s="167"/>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row>
    <row r="291" spans="1:41" ht="15.75" customHeight="1">
      <c r="A291" s="118" t="s">
        <v>695</v>
      </c>
      <c r="B291" s="111">
        <f>('Pivot Table for Data Exchange'!$L$115)*100</f>
        <v>74.188255148682686</v>
      </c>
      <c r="C291" s="111">
        <f>('Pivot Table for Data Exchange'!$L$118)*100</f>
        <v>2.367014230616181</v>
      </c>
      <c r="D291" s="112">
        <f>SUM(E291:G291)</f>
        <v>23.408492524302893</v>
      </c>
      <c r="E291" s="111">
        <f>('Pivot Table for Data Exchange'!$L$121)*100</f>
        <v>16.429816613780499</v>
      </c>
      <c r="F291" s="111">
        <f>('Pivot Table for Data Exchange'!$L$124)*100</f>
        <v>9.4571471868894405E-2</v>
      </c>
      <c r="G291" s="119">
        <f>('Pivot Table for Data Exchange'!$L$127)*100</f>
        <v>6.8841044386535</v>
      </c>
      <c r="H291" s="120">
        <f>('Pivot Table for Data Exchange'!$L$130)*100</f>
        <v>3.6238096398239668E-2</v>
      </c>
      <c r="I291" s="118"/>
      <c r="J291" s="143"/>
      <c r="K291" s="143"/>
      <c r="L291" s="143"/>
      <c r="M291" s="143"/>
      <c r="N291" s="143"/>
      <c r="O291" s="143"/>
      <c r="P291" s="143"/>
      <c r="Q291" s="160">
        <f t="shared" si="14"/>
        <v>99.999999999999986</v>
      </c>
      <c r="R291" s="160"/>
      <c r="S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row>
    <row r="292" spans="1:41" ht="15.75" customHeight="1">
      <c r="A292" s="118"/>
      <c r="B292" s="111"/>
      <c r="C292" s="111"/>
      <c r="D292" s="112"/>
      <c r="E292" s="111"/>
      <c r="F292" s="111"/>
      <c r="G292" s="119"/>
      <c r="H292" s="111"/>
      <c r="I292" s="118"/>
      <c r="J292" s="143"/>
      <c r="K292" s="143"/>
      <c r="L292" s="143"/>
      <c r="M292" s="143"/>
      <c r="N292" s="143"/>
      <c r="O292" s="143"/>
      <c r="P292" s="143"/>
      <c r="Q292" s="160">
        <f t="shared" si="14"/>
        <v>0</v>
      </c>
      <c r="R292" s="160"/>
      <c r="S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row>
    <row r="293" spans="1:41" ht="15.75" customHeight="1">
      <c r="A293" s="118" t="s">
        <v>657</v>
      </c>
      <c r="B293" s="111">
        <f>('Pivot Table for Data Exchange'!$L$151)*100</f>
        <v>0</v>
      </c>
      <c r="C293" s="111">
        <f>('Pivot Table for Data Exchange'!$L$154)*100</f>
        <v>0</v>
      </c>
      <c r="D293" s="112">
        <f>SUM(E293:G293)</f>
        <v>0</v>
      </c>
      <c r="E293" s="111">
        <f>('Pivot Table for Data Exchange'!$L$157)*100</f>
        <v>0</v>
      </c>
      <c r="F293" s="111">
        <f>('Pivot Table for Data Exchange'!$L$160)*100</f>
        <v>0</v>
      </c>
      <c r="G293" s="119">
        <f>('Pivot Table for Data Exchange'!$L$163)*100</f>
        <v>0</v>
      </c>
      <c r="H293" s="111">
        <f>('Pivot Table for Data Exchange'!$L$166)*100</f>
        <v>0</v>
      </c>
      <c r="I293" s="118"/>
      <c r="J293" s="143"/>
      <c r="K293" s="143"/>
      <c r="L293" s="143"/>
      <c r="M293" s="143"/>
      <c r="N293" s="143"/>
      <c r="O293" s="143"/>
      <c r="P293" s="143"/>
      <c r="Q293" s="160">
        <f t="shared" si="14"/>
        <v>0</v>
      </c>
      <c r="R293" s="160"/>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row>
    <row r="294" spans="1:41" ht="15.75" customHeight="1">
      <c r="A294" s="118" t="s">
        <v>658</v>
      </c>
      <c r="B294" s="111">
        <f>('Pivot Table for Data Exchange'!$L$187)*100</f>
        <v>70.766727826534947</v>
      </c>
      <c r="C294" s="111">
        <f>('Pivot Table for Data Exchange'!$L$190)*100</f>
        <v>7.736331673279766</v>
      </c>
      <c r="D294" s="112">
        <f>SUM(E294:G294)</f>
        <v>21.496940500185289</v>
      </c>
      <c r="E294" s="111">
        <f>('Pivot Table for Data Exchange'!$L$193)*100</f>
        <v>21.239526749157172</v>
      </c>
      <c r="F294" s="111">
        <f>('Pivot Table for Data Exchange'!$L$196)*100</f>
        <v>0.25741375102811848</v>
      </c>
      <c r="G294" s="119">
        <f>('Pivot Table for Data Exchange'!$L$199)*100</f>
        <v>0</v>
      </c>
      <c r="H294" s="111">
        <f>('Pivot Table for Data Exchange'!$L$202)*100</f>
        <v>0</v>
      </c>
      <c r="I294" s="118"/>
      <c r="J294" s="143"/>
      <c r="K294" s="143"/>
      <c r="L294" s="143"/>
      <c r="M294" s="143"/>
      <c r="N294" s="143"/>
      <c r="O294" s="143"/>
      <c r="P294" s="143"/>
      <c r="Q294" s="160">
        <f t="shared" si="14"/>
        <v>100</v>
      </c>
      <c r="R294" s="160"/>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row>
    <row r="295" spans="1:41" ht="15.75" customHeight="1">
      <c r="A295" s="118" t="s">
        <v>659</v>
      </c>
      <c r="B295" s="111">
        <f>('Pivot Table for Data Exchange'!$L$223)*100</f>
        <v>0</v>
      </c>
      <c r="C295" s="111">
        <f>('Pivot Table for Data Exchange'!$L$226)*100</f>
        <v>0</v>
      </c>
      <c r="D295" s="112">
        <f>SUM(E295:G295)</f>
        <v>0</v>
      </c>
      <c r="E295" s="111">
        <f>('Pivot Table for Data Exchange'!$L$229)*100</f>
        <v>0</v>
      </c>
      <c r="F295" s="111">
        <f>('Pivot Table for Data Exchange'!$L$232)*100</f>
        <v>0</v>
      </c>
      <c r="G295" s="119">
        <f>('Pivot Table for Data Exchange'!$L$235)*100</f>
        <v>0</v>
      </c>
      <c r="H295" s="111">
        <f>('Pivot Table for Data Exchange'!$L$238)*100</f>
        <v>0</v>
      </c>
      <c r="I295" s="118"/>
      <c r="J295" s="143"/>
      <c r="K295" s="143"/>
      <c r="L295" s="143"/>
      <c r="M295" s="143"/>
      <c r="N295" s="143"/>
      <c r="O295" s="143"/>
      <c r="P295" s="143"/>
      <c r="Q295" s="160">
        <f t="shared" si="14"/>
        <v>0</v>
      </c>
      <c r="R295" s="160"/>
      <c r="S295" s="161"/>
      <c r="T295" s="167"/>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row>
    <row r="296" spans="1:41" ht="15.75" customHeight="1">
      <c r="A296" s="118" t="s">
        <v>700</v>
      </c>
      <c r="B296" s="111">
        <f>('Pivot Table for Data Exchange'!$L$259)*100</f>
        <v>78.327241978394383</v>
      </c>
      <c r="C296" s="111">
        <f>('Pivot Table for Data Exchange'!$L$262)*100</f>
        <v>10.485708986421265</v>
      </c>
      <c r="D296" s="112">
        <f>SUM(E296:G296)</f>
        <v>11.187049035184353</v>
      </c>
      <c r="E296" s="111">
        <f>('Pivot Table for Data Exchange'!$L$265)*100</f>
        <v>11.11021822965092</v>
      </c>
      <c r="F296" s="120">
        <f>('Pivot Table for Data Exchange'!$L$268)*100</f>
        <v>4.7122894060506362E-2</v>
      </c>
      <c r="G296" s="119">
        <f>('Pivot Table for Data Exchange'!$L$271)*100</f>
        <v>2.9707911472927926E-2</v>
      </c>
      <c r="H296" s="111">
        <f>('Pivot Table for Data Exchange'!$L$274)*100</f>
        <v>0</v>
      </c>
      <c r="I296" s="118"/>
      <c r="J296" s="143"/>
      <c r="K296" s="143"/>
      <c r="L296" s="143"/>
      <c r="M296" s="143"/>
      <c r="N296" s="143"/>
      <c r="O296" s="143"/>
      <c r="P296" s="143"/>
      <c r="Q296" s="160">
        <f t="shared" si="14"/>
        <v>100.00000000000001</v>
      </c>
      <c r="R296" s="160"/>
      <c r="S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row>
    <row r="297" spans="1:41" ht="9.75" customHeight="1">
      <c r="A297" s="118"/>
      <c r="B297" s="111"/>
      <c r="C297" s="111"/>
      <c r="D297" s="112"/>
      <c r="E297" s="111"/>
      <c r="F297" s="111"/>
      <c r="G297" s="119"/>
      <c r="H297" s="111"/>
      <c r="I297" s="118"/>
      <c r="J297" s="143"/>
      <c r="K297" s="143"/>
      <c r="L297" s="143"/>
      <c r="M297" s="143"/>
      <c r="N297" s="143"/>
      <c r="O297" s="143"/>
      <c r="P297" s="143"/>
      <c r="Q297" s="160">
        <f t="shared" si="14"/>
        <v>0</v>
      </c>
      <c r="R297" s="160"/>
      <c r="S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row>
    <row r="298" spans="1:41" ht="15.75" customHeight="1">
      <c r="A298" s="118" t="s">
        <v>703</v>
      </c>
      <c r="B298" s="144">
        <f>('Pivot Table for Data Exchange'!$L$295)*100</f>
        <v>79.418558883547462</v>
      </c>
      <c r="C298" s="111">
        <f>('Pivot Table for Data Exchange'!$L$298)*100</f>
        <v>0</v>
      </c>
      <c r="D298" s="112">
        <f>SUM(E298:G298)</f>
        <v>20.581441116452542</v>
      </c>
      <c r="E298" s="111">
        <f>('Pivot Table for Data Exchange'!$L$301)*100</f>
        <v>20.581441116452542</v>
      </c>
      <c r="F298" s="111">
        <f>('Pivot Table for Data Exchange'!$L$304)*100</f>
        <v>0</v>
      </c>
      <c r="G298" s="119">
        <f>('Pivot Table for Data Exchange'!$L$307)*100</f>
        <v>0</v>
      </c>
      <c r="H298" s="111">
        <f>('Pivot Table for Data Exchange'!$L$310)*100</f>
        <v>0</v>
      </c>
      <c r="I298" s="148"/>
      <c r="J298" s="143"/>
      <c r="K298" s="143"/>
      <c r="L298" s="143"/>
      <c r="M298" s="143"/>
      <c r="N298" s="143"/>
      <c r="O298" s="143"/>
      <c r="P298" s="143"/>
      <c r="Q298" s="160">
        <f t="shared" si="14"/>
        <v>100</v>
      </c>
      <c r="R298" s="160"/>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row>
    <row r="299" spans="1:41" ht="15.75" customHeight="1">
      <c r="A299" s="118" t="s">
        <v>662</v>
      </c>
      <c r="B299" s="111">
        <f>('Pivot Table for Data Exchange'!$L$331)*100</f>
        <v>75.698836358120758</v>
      </c>
      <c r="C299" s="111">
        <f>('Pivot Table for Data Exchange'!$L$334)*100</f>
        <v>3.0396393336674667</v>
      </c>
      <c r="D299" s="112">
        <f>SUM(E299:G299)</f>
        <v>21.261524308211769</v>
      </c>
      <c r="E299" s="111">
        <f>('Pivot Table for Data Exchange'!$L$337)*100</f>
        <v>20.796018095966655</v>
      </c>
      <c r="F299" s="111">
        <f>('Pivot Table for Data Exchange'!$L$340)*100</f>
        <v>0.19112380964942363</v>
      </c>
      <c r="G299" s="119">
        <f>('Pivot Table for Data Exchange'!$L$343)*100</f>
        <v>0.27438240259568969</v>
      </c>
      <c r="H299" s="111">
        <f>('Pivot Table for Data Exchange'!$L$346)*100</f>
        <v>0</v>
      </c>
      <c r="I299" s="118"/>
      <c r="J299" s="143"/>
      <c r="K299" s="143"/>
      <c r="L299" s="143"/>
      <c r="M299" s="143"/>
      <c r="N299" s="143"/>
      <c r="O299" s="143"/>
      <c r="P299" s="143"/>
      <c r="Q299" s="160">
        <f t="shared" si="14"/>
        <v>100</v>
      </c>
      <c r="R299" s="160"/>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row>
    <row r="300" spans="1:41" ht="15.75" customHeight="1">
      <c r="A300" s="118" t="s">
        <v>663</v>
      </c>
      <c r="B300" s="111">
        <f>('Pivot Table for Data Exchange'!$L$367)*100</f>
        <v>75.537589121635094</v>
      </c>
      <c r="C300" s="111">
        <f>('Pivot Table for Data Exchange'!$L$370)*100</f>
        <v>4.7860230692308763</v>
      </c>
      <c r="D300" s="112">
        <f>SUM(E300:G300)</f>
        <v>17.262511031531247</v>
      </c>
      <c r="E300" s="111">
        <f>('Pivot Table for Data Exchange'!$L$373)*100</f>
        <v>17.247673525406913</v>
      </c>
      <c r="F300" s="111">
        <f>('Pivot Table for Data Exchange'!$L$376)*100</f>
        <v>0</v>
      </c>
      <c r="G300" s="119">
        <f>('Pivot Table for Data Exchange'!$L$379)*100</f>
        <v>1.4837506124335209E-2</v>
      </c>
      <c r="H300" s="111">
        <f>('Pivot Table for Data Exchange'!$L$382)*100</f>
        <v>2.4138767776027845</v>
      </c>
      <c r="I300" s="118"/>
      <c r="J300" s="143"/>
      <c r="K300" s="143"/>
      <c r="L300" s="143"/>
      <c r="M300" s="143"/>
      <c r="N300" s="143"/>
      <c r="O300" s="143"/>
      <c r="P300" s="143"/>
      <c r="Q300" s="160">
        <f t="shared" si="14"/>
        <v>100</v>
      </c>
      <c r="R300" s="160"/>
      <c r="S300" s="161"/>
      <c r="T300" s="167"/>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row>
    <row r="301" spans="1:41" ht="15.75" customHeight="1">
      <c r="A301" s="118" t="s">
        <v>664</v>
      </c>
      <c r="B301" s="111">
        <f>('Pivot Table for Data Exchange'!$L$403)*100</f>
        <v>73.570283108029827</v>
      </c>
      <c r="C301" s="111">
        <f>('Pivot Table for Data Exchange'!$L$406)*100</f>
        <v>4.6694837226602273</v>
      </c>
      <c r="D301" s="112">
        <f>SUM(E301:G301)</f>
        <v>21.760233169309942</v>
      </c>
      <c r="E301" s="111">
        <f>('Pivot Table for Data Exchange'!$L$409)*100</f>
        <v>21.635233931500416</v>
      </c>
      <c r="F301" s="111">
        <f>('Pivot Table for Data Exchange'!$L$412)*100</f>
        <v>6.7072761751452728E-2</v>
      </c>
      <c r="G301" s="119">
        <f>('Pivot Table for Data Exchange'!$L$415)*100</f>
        <v>5.7926476058072822E-2</v>
      </c>
      <c r="H301" s="111">
        <f>('Pivot Table for Data Exchange'!$L$418)*100</f>
        <v>0</v>
      </c>
      <c r="I301" s="118"/>
      <c r="J301" s="143"/>
      <c r="K301" s="143"/>
      <c r="L301" s="143"/>
      <c r="M301" s="143"/>
      <c r="N301" s="143"/>
      <c r="O301" s="143"/>
      <c r="P301" s="143"/>
      <c r="Q301" s="160">
        <f t="shared" si="14"/>
        <v>100</v>
      </c>
      <c r="R301" s="160"/>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row>
    <row r="302" spans="1:41" ht="11.25" customHeight="1">
      <c r="A302" s="118"/>
      <c r="B302" s="111"/>
      <c r="C302" s="111"/>
      <c r="D302" s="112"/>
      <c r="E302" s="111"/>
      <c r="F302" s="111"/>
      <c r="G302" s="119"/>
      <c r="H302" s="111"/>
      <c r="I302" s="118"/>
      <c r="J302" s="143"/>
      <c r="K302" s="143"/>
      <c r="L302" s="143"/>
      <c r="M302" s="143"/>
      <c r="N302" s="143"/>
      <c r="O302" s="143"/>
      <c r="P302" s="143"/>
      <c r="Q302" s="160">
        <f t="shared" si="14"/>
        <v>0</v>
      </c>
      <c r="R302" s="160"/>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row>
    <row r="303" spans="1:41" ht="15.75" customHeight="1">
      <c r="A303" s="118" t="s">
        <v>665</v>
      </c>
      <c r="B303" s="111">
        <f>('Pivot Table for Data Exchange'!$L$439)*100</f>
        <v>73.988572224932057</v>
      </c>
      <c r="C303" s="111">
        <f>('Pivot Table for Data Exchange'!$L$442)*100</f>
        <v>5.4332102292523174</v>
      </c>
      <c r="D303" s="112">
        <f>SUM(E303:G303)</f>
        <v>20.501707198104661</v>
      </c>
      <c r="E303" s="111">
        <f>('Pivot Table for Data Exchange'!$L$445)*100</f>
        <v>13.241725315309038</v>
      </c>
      <c r="F303" s="111">
        <f>('Pivot Table for Data Exchange'!$L$448)*100</f>
        <v>0.72775416347292876</v>
      </c>
      <c r="G303" s="119">
        <f>('Pivot Table for Data Exchange'!$L$451)*100</f>
        <v>6.5322277193226945</v>
      </c>
      <c r="H303" s="111">
        <f>('Pivot Table for Data Exchange'!$L$454)*100</f>
        <v>7.6510347710960908E-2</v>
      </c>
      <c r="I303" s="118"/>
      <c r="J303" s="143"/>
      <c r="K303" s="143"/>
      <c r="L303" s="143"/>
      <c r="M303" s="143"/>
      <c r="N303" s="143"/>
      <c r="O303" s="143"/>
      <c r="P303" s="143"/>
      <c r="Q303" s="160">
        <f t="shared" si="14"/>
        <v>100.00000000000001</v>
      </c>
      <c r="R303" s="160"/>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row>
    <row r="304" spans="1:41" ht="15.75" customHeight="1">
      <c r="A304" s="118" t="s">
        <v>666</v>
      </c>
      <c r="B304" s="111">
        <f>('Pivot Table for Data Exchange'!$L$475)*100</f>
        <v>74.006459617200875</v>
      </c>
      <c r="C304" s="111">
        <f>('Pivot Table for Data Exchange'!$L$478)*100</f>
        <v>8.7063271541882745</v>
      </c>
      <c r="D304" s="112">
        <f>SUM(E304:G304)</f>
        <v>17.287213228610852</v>
      </c>
      <c r="E304" s="111">
        <f>('Pivot Table for Data Exchange'!$L$481)*100</f>
        <v>16.598867458539974</v>
      </c>
      <c r="F304" s="111">
        <f>('Pivot Table for Data Exchange'!$L$484)*100</f>
        <v>7.3865871358751486E-2</v>
      </c>
      <c r="G304" s="119">
        <f>('Pivot Table for Data Exchange'!$L$487)*100</f>
        <v>0.61447989871212516</v>
      </c>
      <c r="H304" s="111">
        <f>('Pivot Table for Data Exchange'!$L$490)*100</f>
        <v>0</v>
      </c>
      <c r="I304" s="118"/>
      <c r="J304" s="143"/>
      <c r="K304" s="143"/>
      <c r="L304" s="143"/>
      <c r="M304" s="143"/>
      <c r="N304" s="143"/>
      <c r="O304" s="143"/>
      <c r="P304" s="143"/>
      <c r="Q304" s="160">
        <f t="shared" si="14"/>
        <v>100</v>
      </c>
      <c r="R304" s="160"/>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row>
    <row r="305" spans="1:41" ht="15.75" customHeight="1">
      <c r="A305" s="118" t="s">
        <v>667</v>
      </c>
      <c r="B305" s="111">
        <f>('Pivot Table for Data Exchange'!$L$511)*100</f>
        <v>71.155371229742386</v>
      </c>
      <c r="C305" s="111">
        <f>('Pivot Table for Data Exchange'!$L$514)*100</f>
        <v>6.2808535988434526</v>
      </c>
      <c r="D305" s="112">
        <f>SUM(E305:G305)</f>
        <v>22.563775171414154</v>
      </c>
      <c r="E305" s="111">
        <f>('Pivot Table for Data Exchange'!$L$517)*100</f>
        <v>22.286970247739458</v>
      </c>
      <c r="F305" s="111">
        <f>('Pivot Table for Data Exchange'!$L$520)*100</f>
        <v>0.27680492367469445</v>
      </c>
      <c r="G305" s="119">
        <f>('Pivot Table for Data Exchange'!$L$523)*100</f>
        <v>0</v>
      </c>
      <c r="H305" s="111">
        <f>('Pivot Table for Data Exchange'!$L$526)*100</f>
        <v>0</v>
      </c>
      <c r="I305" s="118"/>
      <c r="J305" s="143"/>
      <c r="K305" s="143"/>
      <c r="L305" s="143"/>
      <c r="M305" s="143"/>
      <c r="N305" s="143"/>
      <c r="O305" s="143"/>
      <c r="P305" s="143"/>
      <c r="Q305" s="160">
        <f t="shared" si="14"/>
        <v>99.999999999999986</v>
      </c>
      <c r="R305" s="160"/>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row>
    <row r="306" spans="1:41" ht="15.75" customHeight="1">
      <c r="A306" s="91" t="s">
        <v>668</v>
      </c>
      <c r="B306" s="122">
        <f>('Pivot Table for Data Exchange'!$L$547)*100</f>
        <v>0</v>
      </c>
      <c r="C306" s="122">
        <f>('Pivot Table for Data Exchange'!$L$550)*100</f>
        <v>0</v>
      </c>
      <c r="D306" s="123">
        <f>SUM(E306:G306)</f>
        <v>0</v>
      </c>
      <c r="E306" s="122">
        <f>('Pivot Table for Data Exchange'!$L$553)*100</f>
        <v>0</v>
      </c>
      <c r="F306" s="122">
        <f>('Pivot Table for Data Exchange'!$L$556)*100</f>
        <v>0</v>
      </c>
      <c r="G306" s="124">
        <f>('Pivot Table for Data Exchange'!$L$559)*100</f>
        <v>0</v>
      </c>
      <c r="H306" s="122">
        <f>('Pivot Table for Data Exchange'!$L$562)*100</f>
        <v>0</v>
      </c>
      <c r="I306" s="118"/>
      <c r="J306" s="143"/>
      <c r="K306" s="143"/>
      <c r="L306" s="143"/>
      <c r="M306" s="143"/>
      <c r="N306" s="143"/>
      <c r="O306" s="143"/>
      <c r="P306" s="143"/>
      <c r="Q306" s="160">
        <f t="shared" si="14"/>
        <v>0</v>
      </c>
      <c r="R306" s="160"/>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row>
    <row r="307" spans="1:41" s="166" customFormat="1" ht="18" customHeight="1">
      <c r="A307" s="58" t="s">
        <v>697</v>
      </c>
      <c r="B307" s="126"/>
      <c r="C307" s="126"/>
      <c r="D307" s="127"/>
      <c r="E307" s="126"/>
      <c r="F307" s="127"/>
      <c r="G307" s="127"/>
      <c r="H307" s="126"/>
      <c r="I307" s="58"/>
      <c r="J307" s="126"/>
      <c r="K307" s="126"/>
      <c r="L307" s="127"/>
      <c r="M307" s="126"/>
      <c r="N307" s="127"/>
      <c r="O307" s="127"/>
      <c r="P307" s="126"/>
      <c r="Q307" s="160">
        <f t="shared" si="14"/>
        <v>0</v>
      </c>
      <c r="R307" s="164"/>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row>
    <row r="308" spans="1:41" s="166" customFormat="1" ht="30" customHeight="1">
      <c r="A308" s="643" t="s">
        <v>704</v>
      </c>
      <c r="B308" s="651"/>
      <c r="C308" s="651"/>
      <c r="D308" s="651"/>
      <c r="E308" s="651"/>
      <c r="F308" s="651"/>
      <c r="G308" s="651"/>
      <c r="H308" s="651"/>
      <c r="I308" s="58"/>
      <c r="J308" s="60"/>
      <c r="K308" s="60"/>
      <c r="L308" s="60"/>
      <c r="M308" s="60"/>
      <c r="N308" s="60"/>
      <c r="O308" s="60"/>
      <c r="P308" s="136"/>
      <c r="Q308" s="160">
        <f t="shared" si="14"/>
        <v>0</v>
      </c>
      <c r="R308" s="169"/>
    </row>
    <row r="309" spans="1:41" s="166" customFormat="1" ht="13.5" customHeight="1">
      <c r="A309" s="134"/>
      <c r="B309" s="60"/>
      <c r="C309" s="60"/>
      <c r="D309" s="60"/>
      <c r="E309" s="60"/>
      <c r="F309" s="60"/>
      <c r="G309" s="60"/>
      <c r="H309" s="62"/>
      <c r="I309" s="134"/>
      <c r="J309" s="60"/>
      <c r="K309" s="60"/>
      <c r="L309" s="60"/>
      <c r="M309" s="60"/>
      <c r="N309" s="60"/>
      <c r="O309" s="60"/>
      <c r="P309" s="60"/>
      <c r="Q309" s="160">
        <f t="shared" si="14"/>
        <v>0</v>
      </c>
      <c r="R309" s="169"/>
    </row>
    <row r="310" spans="1:41" s="166" customFormat="1">
      <c r="A310" s="62"/>
      <c r="B310" s="60"/>
      <c r="C310" s="60"/>
      <c r="D310" s="60"/>
      <c r="E310" s="60"/>
      <c r="F310" s="60"/>
      <c r="G310" s="60"/>
      <c r="H310" s="64" t="s">
        <v>1034</v>
      </c>
      <c r="I310" s="147"/>
      <c r="J310" s="62"/>
      <c r="K310" s="62"/>
      <c r="L310" s="62"/>
      <c r="M310" s="62"/>
      <c r="N310" s="62"/>
      <c r="O310" s="62"/>
      <c r="P310" s="62"/>
      <c r="Q310" s="160">
        <f t="shared" si="14"/>
        <v>0</v>
      </c>
      <c r="R310" s="169"/>
    </row>
    <row r="311" spans="1:41" ht="18">
      <c r="A311" s="31" t="s">
        <v>1021</v>
      </c>
      <c r="B311" s="86"/>
      <c r="C311" s="86"/>
      <c r="D311" s="86"/>
      <c r="E311" s="86"/>
      <c r="F311" s="86"/>
      <c r="G311" s="86"/>
      <c r="H311" s="87"/>
      <c r="I311" s="141"/>
      <c r="J311" s="118"/>
      <c r="K311" s="118"/>
      <c r="L311" s="118"/>
      <c r="M311" s="118"/>
      <c r="N311" s="118"/>
      <c r="O311" s="118"/>
      <c r="P311" s="118"/>
      <c r="Q311" s="160">
        <f t="shared" si="14"/>
        <v>0</v>
      </c>
    </row>
    <row r="312" spans="1:41">
      <c r="A312" s="37"/>
      <c r="B312" s="38"/>
      <c r="C312" s="38"/>
      <c r="D312" s="38"/>
      <c r="E312" s="38"/>
      <c r="F312" s="38"/>
      <c r="G312" s="38"/>
      <c r="H312" s="88"/>
      <c r="I312" s="141"/>
      <c r="J312" s="118"/>
      <c r="K312" s="118"/>
      <c r="L312" s="118"/>
      <c r="M312" s="118"/>
      <c r="N312" s="118"/>
      <c r="O312" s="118"/>
      <c r="P312" s="118"/>
      <c r="Q312" s="160">
        <f t="shared" si="14"/>
        <v>0</v>
      </c>
    </row>
    <row r="313" spans="1:41" ht="15.75">
      <c r="A313" s="89" t="s">
        <v>683</v>
      </c>
      <c r="B313" s="38"/>
      <c r="C313" s="38"/>
      <c r="D313" s="38"/>
      <c r="E313" s="38"/>
      <c r="F313" s="38"/>
      <c r="G313" s="38"/>
      <c r="H313" s="88"/>
      <c r="I313" s="141"/>
      <c r="J313" s="118"/>
      <c r="K313" s="118"/>
      <c r="L313" s="118"/>
      <c r="M313" s="118"/>
      <c r="N313" s="118"/>
      <c r="O313" s="118"/>
      <c r="P313" s="118"/>
      <c r="Q313" s="160">
        <f t="shared" si="14"/>
        <v>0</v>
      </c>
    </row>
    <row r="314" spans="1:41" ht="15.75">
      <c r="A314" s="89" t="s">
        <v>978</v>
      </c>
      <c r="B314" s="38"/>
      <c r="C314" s="38"/>
      <c r="D314" s="38"/>
      <c r="E314" s="38"/>
      <c r="F314" s="38"/>
      <c r="G314" s="38"/>
      <c r="H314" s="88"/>
      <c r="I314" s="141"/>
      <c r="J314" s="118"/>
      <c r="K314" s="118"/>
      <c r="L314" s="118"/>
      <c r="M314" s="118"/>
      <c r="N314" s="118"/>
      <c r="O314" s="118"/>
      <c r="P314" s="118"/>
      <c r="Q314" s="160">
        <f t="shared" si="14"/>
        <v>0</v>
      </c>
    </row>
    <row r="315" spans="1:41">
      <c r="A315" s="91"/>
      <c r="B315" s="92"/>
      <c r="C315" s="92"/>
      <c r="D315" s="92"/>
      <c r="E315" s="92"/>
      <c r="F315" s="92"/>
      <c r="G315" s="92"/>
      <c r="H315" s="92"/>
      <c r="I315" s="141"/>
      <c r="J315" s="118"/>
      <c r="K315" s="118"/>
      <c r="L315" s="118"/>
      <c r="M315" s="118"/>
      <c r="N315" s="118"/>
      <c r="O315" s="118"/>
      <c r="P315" s="118"/>
      <c r="Q315" s="160">
        <f t="shared" si="14"/>
        <v>0</v>
      </c>
    </row>
    <row r="316" spans="1:41">
      <c r="A316" s="95"/>
      <c r="B316" s="96" t="s">
        <v>685</v>
      </c>
      <c r="C316" s="96"/>
      <c r="D316" s="96"/>
      <c r="E316" s="96"/>
      <c r="F316" s="96"/>
      <c r="G316" s="96"/>
      <c r="H316" s="97"/>
      <c r="I316" s="141"/>
      <c r="J316" s="118"/>
      <c r="K316" s="118"/>
      <c r="L316" s="118"/>
      <c r="M316" s="118"/>
      <c r="N316" s="118"/>
      <c r="O316" s="118"/>
      <c r="P316" s="118"/>
      <c r="Q316" s="160">
        <f t="shared" si="14"/>
        <v>0</v>
      </c>
    </row>
    <row r="317" spans="1:41">
      <c r="A317" s="95"/>
      <c r="B317" s="96" t="s">
        <v>686</v>
      </c>
      <c r="C317" s="96"/>
      <c r="D317" s="647" t="s">
        <v>687</v>
      </c>
      <c r="E317" s="648"/>
      <c r="F317" s="648"/>
      <c r="G317" s="648"/>
      <c r="H317" s="101" t="s">
        <v>59</v>
      </c>
      <c r="I317" s="141"/>
      <c r="J317" s="118"/>
      <c r="K317" s="118"/>
      <c r="L317" s="118"/>
      <c r="M317" s="118"/>
      <c r="N317" s="118"/>
      <c r="O317" s="118"/>
      <c r="P317" s="118"/>
      <c r="Q317" s="160">
        <f t="shared" si="14"/>
        <v>0</v>
      </c>
    </row>
    <row r="318" spans="1:41" ht="36">
      <c r="A318" s="95"/>
      <c r="B318" s="102" t="s">
        <v>688</v>
      </c>
      <c r="C318" s="103" t="s">
        <v>689</v>
      </c>
      <c r="D318" s="104" t="s">
        <v>690</v>
      </c>
      <c r="E318" s="105" t="s">
        <v>9</v>
      </c>
      <c r="F318" s="102" t="s">
        <v>691</v>
      </c>
      <c r="G318" s="106" t="s">
        <v>692</v>
      </c>
      <c r="H318" s="107" t="s">
        <v>693</v>
      </c>
      <c r="I318" s="141"/>
      <c r="J318" s="118"/>
      <c r="K318" s="118"/>
      <c r="L318" s="118"/>
      <c r="M318" s="118"/>
      <c r="N318" s="118"/>
      <c r="O318" s="118"/>
      <c r="P318" s="118"/>
      <c r="Q318" s="160">
        <f t="shared" si="14"/>
        <v>0</v>
      </c>
    </row>
    <row r="319" spans="1:41" ht="15.75" customHeight="1">
      <c r="A319" s="115" t="s">
        <v>653</v>
      </c>
      <c r="B319" s="111">
        <f>('Pivot Table for Data Exchange'!$M$7)*100</f>
        <v>56.031991125555095</v>
      </c>
      <c r="C319" s="111">
        <f>('Pivot Table for Data Exchange'!$M$10)*100</f>
        <v>29.063807060262103</v>
      </c>
      <c r="D319" s="112">
        <f>SUM(E319:G319)</f>
        <v>14.9042018141828</v>
      </c>
      <c r="E319" s="111">
        <f>('Pivot Table for Data Exchange'!$M$13)*100</f>
        <v>13.551685910471093</v>
      </c>
      <c r="F319" s="111">
        <f>('Pivot Table for Data Exchange'!$M$16)*100</f>
        <v>0.44280018809964744</v>
      </c>
      <c r="G319" s="149">
        <f>('Pivot Table for Data Exchange'!$M$19)*100</f>
        <v>0.909715715612058</v>
      </c>
      <c r="H319" s="120">
        <f>('Pivot Table for Data Exchange'!$M$22)*100</f>
        <v>0</v>
      </c>
      <c r="I319" s="118"/>
      <c r="J319" s="143"/>
      <c r="K319" s="143"/>
      <c r="L319" s="143"/>
      <c r="M319" s="143"/>
      <c r="N319" s="143"/>
      <c r="O319" s="143"/>
      <c r="P319" s="143"/>
      <c r="Q319" s="160">
        <f t="shared" si="14"/>
        <v>100</v>
      </c>
      <c r="R319" s="160"/>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row>
    <row r="320" spans="1:41" ht="15.75" customHeight="1">
      <c r="A320" s="118" t="s">
        <v>654</v>
      </c>
      <c r="B320" s="111">
        <f>('Pivot Table for Data Exchange'!$M$43)*100</f>
        <v>73.112760646229631</v>
      </c>
      <c r="C320" s="111">
        <f>('Pivot Table for Data Exchange'!$M$46)*100</f>
        <v>8.5927781118956013</v>
      </c>
      <c r="D320" s="112">
        <f>SUM(E320:G320)</f>
        <v>18.294461241874757</v>
      </c>
      <c r="E320" s="111">
        <f>('Pivot Table for Data Exchange'!$M$49)*100</f>
        <v>11.650642741999709</v>
      </c>
      <c r="F320" s="111">
        <f>('Pivot Table for Data Exchange'!$M$52)*100</f>
        <v>6.4013313451034355</v>
      </c>
      <c r="G320" s="119">
        <f>('Pivot Table for Data Exchange'!$M$55)*100</f>
        <v>0.24248715477161445</v>
      </c>
      <c r="H320" s="111">
        <f>('Pivot Table for Data Exchange'!$M$58)*100</f>
        <v>0</v>
      </c>
      <c r="I320" s="118"/>
      <c r="J320" s="143"/>
      <c r="K320" s="143"/>
      <c r="L320" s="143"/>
      <c r="M320" s="143"/>
      <c r="N320" s="143"/>
      <c r="O320" s="143"/>
      <c r="P320" s="143"/>
      <c r="Q320" s="160">
        <f t="shared" si="14"/>
        <v>99.999999999999986</v>
      </c>
      <c r="R320" s="160"/>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row>
    <row r="321" spans="1:41" ht="15.75" customHeight="1">
      <c r="A321" s="118" t="s">
        <v>655</v>
      </c>
      <c r="B321" s="111">
        <f>('Pivot Table for Data Exchange'!$M$79)*100</f>
        <v>0</v>
      </c>
      <c r="C321" s="111">
        <f>('Pivot Table for Data Exchange'!$M$82)*100</f>
        <v>0</v>
      </c>
      <c r="D321" s="112">
        <f>SUM(E321:G321)</f>
        <v>0</v>
      </c>
      <c r="E321" s="111">
        <f>('Pivot Table for Data Exchange'!$M$85)*100</f>
        <v>0</v>
      </c>
      <c r="F321" s="111">
        <f>('Pivot Table for Data Exchange'!$M$88)*100</f>
        <v>0</v>
      </c>
      <c r="G321" s="119">
        <f>('Pivot Table for Data Exchange'!$M$91)*100</f>
        <v>0</v>
      </c>
      <c r="H321" s="111">
        <f>('Pivot Table for Data Exchange'!$M$94)*100</f>
        <v>0</v>
      </c>
      <c r="I321" s="118"/>
      <c r="J321" s="143"/>
      <c r="K321" s="143"/>
      <c r="L321" s="143"/>
      <c r="M321" s="143"/>
      <c r="N321" s="143"/>
      <c r="O321" s="143"/>
      <c r="P321" s="143"/>
      <c r="Q321" s="160">
        <f t="shared" si="14"/>
        <v>0</v>
      </c>
      <c r="R321" s="160"/>
      <c r="S321" s="161"/>
      <c r="T321" s="167"/>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row>
    <row r="322" spans="1:41" ht="15.75" customHeight="1">
      <c r="A322" s="118" t="s">
        <v>695</v>
      </c>
      <c r="B322" s="111">
        <f>('Pivot Table for Data Exchange'!$M$115)*100</f>
        <v>65.464662523486055</v>
      </c>
      <c r="C322" s="111">
        <f>('Pivot Table for Data Exchange'!$M$118)*100</f>
        <v>6.2581297875415522</v>
      </c>
      <c r="D322" s="112">
        <f>SUM(E322:G322)</f>
        <v>28.158899923605805</v>
      </c>
      <c r="E322" s="111">
        <f>('Pivot Table for Data Exchange'!$M$121)*100</f>
        <v>19.453884748002395</v>
      </c>
      <c r="F322" s="111">
        <f>('Pivot Table for Data Exchange'!$M$124)*100</f>
        <v>1.0034480622715918</v>
      </c>
      <c r="G322" s="119">
        <f>('Pivot Table for Data Exchange'!$M$127)*100</f>
        <v>7.7015671133318193</v>
      </c>
      <c r="H322" s="111">
        <f>('Pivot Table for Data Exchange'!$M$130)*100</f>
        <v>0.11830776536658891</v>
      </c>
      <c r="I322" s="118"/>
      <c r="J322" s="143"/>
      <c r="K322" s="143"/>
      <c r="L322" s="143"/>
      <c r="M322" s="143"/>
      <c r="N322" s="143"/>
      <c r="O322" s="143"/>
      <c r="P322" s="143"/>
      <c r="Q322" s="160">
        <f t="shared" si="14"/>
        <v>100</v>
      </c>
      <c r="R322" s="160"/>
      <c r="S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row>
    <row r="323" spans="1:41" ht="15.75" customHeight="1">
      <c r="A323" s="118"/>
      <c r="B323" s="111"/>
      <c r="C323" s="111"/>
      <c r="D323" s="112"/>
      <c r="E323" s="111"/>
      <c r="F323" s="111"/>
      <c r="G323" s="119"/>
      <c r="H323" s="111"/>
      <c r="I323" s="118"/>
      <c r="J323" s="143"/>
      <c r="K323" s="143"/>
      <c r="L323" s="143"/>
      <c r="M323" s="143"/>
      <c r="N323" s="143"/>
      <c r="O323" s="143"/>
      <c r="P323" s="143"/>
      <c r="Q323" s="160">
        <f t="shared" si="14"/>
        <v>0</v>
      </c>
      <c r="R323" s="160"/>
      <c r="S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row>
    <row r="324" spans="1:41" ht="15.75" customHeight="1">
      <c r="A324" s="118" t="s">
        <v>657</v>
      </c>
      <c r="B324" s="111">
        <f>('Pivot Table for Data Exchange'!$M$151)*100</f>
        <v>0</v>
      </c>
      <c r="C324" s="111">
        <f>('Pivot Table for Data Exchange'!$M$154)*100</f>
        <v>0</v>
      </c>
      <c r="D324" s="112">
        <f>SUM(E324:G324)</f>
        <v>0</v>
      </c>
      <c r="E324" s="111">
        <f>('Pivot Table for Data Exchange'!$M$157)*100</f>
        <v>0</v>
      </c>
      <c r="F324" s="111">
        <f>('Pivot Table for Data Exchange'!$M$160)*100</f>
        <v>0</v>
      </c>
      <c r="G324" s="119">
        <f>('Pivot Table for Data Exchange'!$M$163)*100</f>
        <v>0</v>
      </c>
      <c r="H324" s="111">
        <f>('Pivot Table for Data Exchange'!$M$166)*100</f>
        <v>0</v>
      </c>
      <c r="I324" s="118"/>
      <c r="J324" s="143"/>
      <c r="K324" s="143"/>
      <c r="L324" s="143"/>
      <c r="M324" s="143"/>
      <c r="N324" s="143"/>
      <c r="O324" s="143"/>
      <c r="P324" s="143"/>
      <c r="Q324" s="160">
        <f t="shared" si="14"/>
        <v>0</v>
      </c>
      <c r="R324" s="160"/>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row>
    <row r="325" spans="1:41" ht="15.75" customHeight="1">
      <c r="A325" s="118" t="s">
        <v>658</v>
      </c>
      <c r="B325" s="111">
        <f>('Pivot Table for Data Exchange'!$M$187)*100</f>
        <v>62.743836947490465</v>
      </c>
      <c r="C325" s="111">
        <f>('Pivot Table for Data Exchange'!$M$190)*100</f>
        <v>8.1621181723254868</v>
      </c>
      <c r="D325" s="112">
        <f>SUM(E325:G325)</f>
        <v>29.094044880184054</v>
      </c>
      <c r="E325" s="111">
        <f>('Pivot Table for Data Exchange'!$M$193)*100</f>
        <v>27.726136803606799</v>
      </c>
      <c r="F325" s="111">
        <f>('Pivot Table for Data Exchange'!$M$196)*100</f>
        <v>1.367908076577254</v>
      </c>
      <c r="G325" s="119">
        <f>('Pivot Table for Data Exchange'!$M$199)*100</f>
        <v>0</v>
      </c>
      <c r="H325" s="111">
        <f>('Pivot Table for Data Exchange'!$M$202)*100</f>
        <v>0</v>
      </c>
      <c r="I325" s="118"/>
      <c r="J325" s="143"/>
      <c r="K325" s="143"/>
      <c r="L325" s="143"/>
      <c r="M325" s="143"/>
      <c r="N325" s="143"/>
      <c r="O325" s="143"/>
      <c r="P325" s="143"/>
      <c r="Q325" s="160">
        <f t="shared" si="14"/>
        <v>100.00000000000001</v>
      </c>
      <c r="R325" s="160"/>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row>
    <row r="326" spans="1:41" ht="15.75" customHeight="1">
      <c r="A326" s="118" t="s">
        <v>659</v>
      </c>
      <c r="B326" s="111">
        <f>('Pivot Table for Data Exchange'!$M$223)*100</f>
        <v>0</v>
      </c>
      <c r="C326" s="111">
        <f>('Pivot Table for Data Exchange'!$M$226)*100</f>
        <v>0</v>
      </c>
      <c r="D326" s="112">
        <f>SUM(E326:G326)</f>
        <v>0</v>
      </c>
      <c r="E326" s="111">
        <f>('Pivot Table for Data Exchange'!$M$229)*100</f>
        <v>0</v>
      </c>
      <c r="F326" s="111">
        <f>('Pivot Table for Data Exchange'!$M$232)*100</f>
        <v>0</v>
      </c>
      <c r="G326" s="119">
        <f>('Pivot Table for Data Exchange'!$M$235)*100</f>
        <v>0</v>
      </c>
      <c r="H326" s="111">
        <f>('Pivot Table for Data Exchange'!$M$238)*100</f>
        <v>0</v>
      </c>
      <c r="I326" s="118"/>
      <c r="J326" s="143"/>
      <c r="K326" s="143"/>
      <c r="L326" s="143"/>
      <c r="M326" s="143"/>
      <c r="N326" s="143"/>
      <c r="O326" s="143"/>
      <c r="P326" s="143"/>
      <c r="Q326" s="160">
        <f t="shared" si="14"/>
        <v>0</v>
      </c>
      <c r="R326" s="160"/>
      <c r="S326" s="161"/>
      <c r="T326" s="167"/>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row>
    <row r="327" spans="1:41" ht="15.75" customHeight="1">
      <c r="A327" s="118" t="s">
        <v>700</v>
      </c>
      <c r="B327" s="111">
        <f>('Pivot Table for Data Exchange'!$M$259)*100</f>
        <v>80.861645381185099</v>
      </c>
      <c r="C327" s="111">
        <f>('Pivot Table for Data Exchange'!$M$262)*100</f>
        <v>3.8614955371209492</v>
      </c>
      <c r="D327" s="112">
        <f>SUM(E327:G327)</f>
        <v>15.267056198992917</v>
      </c>
      <c r="E327" s="111">
        <f>('Pivot Table for Data Exchange'!$M$265)*100</f>
        <v>14.777845671817225</v>
      </c>
      <c r="F327" s="111">
        <f>('Pivot Table for Data Exchange'!$M$268)*100</f>
        <v>0.33815277279205236</v>
      </c>
      <c r="G327" s="119">
        <f>('Pivot Table for Data Exchange'!$M$271)*100</f>
        <v>0.15105775438363908</v>
      </c>
      <c r="H327" s="120">
        <f>('Pivot Table for Data Exchange'!$M$274)*100</f>
        <v>9.8028827010396193E-3</v>
      </c>
      <c r="I327" s="118"/>
      <c r="J327" s="143"/>
      <c r="K327" s="143"/>
      <c r="L327" s="143"/>
      <c r="M327" s="143"/>
      <c r="N327" s="143"/>
      <c r="O327" s="143"/>
      <c r="P327" s="143"/>
      <c r="Q327" s="160">
        <f t="shared" si="14"/>
        <v>100</v>
      </c>
      <c r="R327" s="160"/>
      <c r="S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row>
    <row r="328" spans="1:41" ht="12" customHeight="1">
      <c r="A328" s="118"/>
      <c r="B328" s="111"/>
      <c r="C328" s="111"/>
      <c r="D328" s="112"/>
      <c r="E328" s="111"/>
      <c r="F328" s="111"/>
      <c r="G328" s="119"/>
      <c r="H328" s="111"/>
      <c r="I328" s="118"/>
      <c r="J328" s="143"/>
      <c r="K328" s="143"/>
      <c r="L328" s="143"/>
      <c r="M328" s="143"/>
      <c r="N328" s="143"/>
      <c r="O328" s="143"/>
      <c r="P328" s="143"/>
      <c r="Q328" s="160">
        <f t="shared" si="14"/>
        <v>0</v>
      </c>
      <c r="R328" s="160"/>
      <c r="S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row>
    <row r="329" spans="1:41" ht="15.75" customHeight="1">
      <c r="A329" s="118" t="s">
        <v>703</v>
      </c>
      <c r="B329" s="144">
        <f>('Pivot Table for Data Exchange'!$M$295)*100</f>
        <v>83.587410786165279</v>
      </c>
      <c r="C329" s="111">
        <f>('Pivot Table for Data Exchange'!$M$298)*100</f>
        <v>0</v>
      </c>
      <c r="D329" s="112">
        <f>SUM(E329:G329)</f>
        <v>16.412589213834714</v>
      </c>
      <c r="E329" s="111">
        <f>('Pivot Table for Data Exchange'!$M$301)*100</f>
        <v>16.412589213834714</v>
      </c>
      <c r="F329" s="111">
        <f>('Pivot Table for Data Exchange'!$M$304)*100</f>
        <v>0</v>
      </c>
      <c r="G329" s="119">
        <f>('Pivot Table for Data Exchange'!$M$307)*100</f>
        <v>0</v>
      </c>
      <c r="H329" s="111">
        <f>('Pivot Table for Data Exchange'!$M$310)*100</f>
        <v>0</v>
      </c>
      <c r="I329" s="148"/>
      <c r="J329" s="143"/>
      <c r="K329" s="143"/>
      <c r="L329" s="143"/>
      <c r="M329" s="143"/>
      <c r="N329" s="143"/>
      <c r="O329" s="143"/>
      <c r="P329" s="143"/>
      <c r="Q329" s="160">
        <f t="shared" si="14"/>
        <v>100</v>
      </c>
      <c r="R329" s="160"/>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row>
    <row r="330" spans="1:41" ht="15.75" customHeight="1">
      <c r="A330" s="118" t="s">
        <v>662</v>
      </c>
      <c r="B330" s="111">
        <f>('Pivot Table for Data Exchange'!$M$331)*100</f>
        <v>71.772880231468733</v>
      </c>
      <c r="C330" s="111">
        <f>('Pivot Table for Data Exchange'!$M$334)*100</f>
        <v>4.8210280211358993</v>
      </c>
      <c r="D330" s="112">
        <f>SUM(E330:G330)</f>
        <v>23.406091747395365</v>
      </c>
      <c r="E330" s="111">
        <f>('Pivot Table for Data Exchange'!$M$337)*100</f>
        <v>22.494810465709605</v>
      </c>
      <c r="F330" s="111">
        <f>('Pivot Table for Data Exchange'!$M$340)*100</f>
        <v>0.75500793582925896</v>
      </c>
      <c r="G330" s="119">
        <f>('Pivot Table for Data Exchange'!$M$343)*100</f>
        <v>0.15627334585650104</v>
      </c>
      <c r="H330" s="111">
        <f>('Pivot Table for Data Exchange'!$M$346)*100</f>
        <v>0</v>
      </c>
      <c r="I330" s="118"/>
      <c r="J330" s="143"/>
      <c r="K330" s="143"/>
      <c r="L330" s="143"/>
      <c r="M330" s="143"/>
      <c r="N330" s="143"/>
      <c r="O330" s="143"/>
      <c r="P330" s="143"/>
      <c r="Q330" s="160">
        <f t="shared" si="14"/>
        <v>100</v>
      </c>
      <c r="R330" s="160"/>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row>
    <row r="331" spans="1:41" ht="15.75" customHeight="1">
      <c r="A331" s="118" t="s">
        <v>663</v>
      </c>
      <c r="B331" s="111">
        <f>('Pivot Table for Data Exchange'!$M$367)*100</f>
        <v>70.920297024073506</v>
      </c>
      <c r="C331" s="111">
        <f>('Pivot Table for Data Exchange'!$M$370)*100</f>
        <v>4.7421508090835696</v>
      </c>
      <c r="D331" s="112">
        <f>SUM(E331:G331)</f>
        <v>24.318448015101382</v>
      </c>
      <c r="E331" s="111">
        <f>('Pivot Table for Data Exchange'!$M$373)*100</f>
        <v>18.574466391475912</v>
      </c>
      <c r="F331" s="111">
        <f>('Pivot Table for Data Exchange'!$M$376)*100</f>
        <v>4.2911563697563082</v>
      </c>
      <c r="G331" s="119">
        <f>('Pivot Table for Data Exchange'!$M$379)*100</f>
        <v>1.4528252538691593</v>
      </c>
      <c r="H331" s="111">
        <f>('Pivot Table for Data Exchange'!$M$382)*100</f>
        <v>1.9104151741548118E-2</v>
      </c>
      <c r="I331" s="118"/>
      <c r="J331" s="143"/>
      <c r="K331" s="143"/>
      <c r="L331" s="143"/>
      <c r="M331" s="143"/>
      <c r="N331" s="143"/>
      <c r="O331" s="143"/>
      <c r="P331" s="143"/>
      <c r="Q331" s="160">
        <f t="shared" ref="Q331:Q394" si="15">SUM(B331,C331,D331,H331)</f>
        <v>100</v>
      </c>
      <c r="R331" s="160"/>
      <c r="S331" s="161"/>
      <c r="T331" s="167"/>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row>
    <row r="332" spans="1:41" ht="15.75" customHeight="1">
      <c r="A332" s="118" t="s">
        <v>664</v>
      </c>
      <c r="B332" s="111">
        <f>('Pivot Table for Data Exchange'!$M$403)*100</f>
        <v>72.834407718152946</v>
      </c>
      <c r="C332" s="111">
        <f>('Pivot Table for Data Exchange'!$M$406)*100</f>
        <v>6.5963628256465903</v>
      </c>
      <c r="D332" s="112">
        <f>SUM(E332:G332)</f>
        <v>20.569229456200461</v>
      </c>
      <c r="E332" s="111">
        <f>('Pivot Table for Data Exchange'!$M$409)*100</f>
        <v>17.904313853903407</v>
      </c>
      <c r="F332" s="111">
        <f>('Pivot Table for Data Exchange'!$M$412)*100</f>
        <v>2.6318218791312726</v>
      </c>
      <c r="G332" s="119">
        <f>('Pivot Table for Data Exchange'!$M$415)*100</f>
        <v>3.3093723165780395E-2</v>
      </c>
      <c r="H332" s="111">
        <f>('Pivot Table for Data Exchange'!$M$418)*100</f>
        <v>0</v>
      </c>
      <c r="I332" s="118"/>
      <c r="J332" s="143"/>
      <c r="K332" s="143"/>
      <c r="L332" s="143"/>
      <c r="M332" s="143"/>
      <c r="N332" s="143"/>
      <c r="O332" s="143"/>
      <c r="P332" s="143"/>
      <c r="Q332" s="160">
        <f t="shared" si="15"/>
        <v>100</v>
      </c>
      <c r="R332" s="160"/>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row>
    <row r="333" spans="1:41" ht="12.75" customHeight="1">
      <c r="A333" s="118"/>
      <c r="B333" s="111"/>
      <c r="C333" s="111"/>
      <c r="D333" s="112"/>
      <c r="E333" s="111"/>
      <c r="F333" s="111"/>
      <c r="G333" s="119"/>
      <c r="H333" s="111"/>
      <c r="I333" s="118"/>
      <c r="J333" s="143"/>
      <c r="K333" s="143"/>
      <c r="L333" s="143"/>
      <c r="M333" s="143"/>
      <c r="N333" s="143"/>
      <c r="O333" s="143"/>
      <c r="P333" s="143"/>
      <c r="Q333" s="160">
        <f t="shared" si="15"/>
        <v>0</v>
      </c>
      <c r="R333" s="160"/>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row>
    <row r="334" spans="1:41" ht="15.75" customHeight="1">
      <c r="A334" s="118" t="s">
        <v>665</v>
      </c>
      <c r="B334" s="111">
        <f>('Pivot Table for Data Exchange'!$M$439)*100</f>
        <v>70.6152847465397</v>
      </c>
      <c r="C334" s="111">
        <f>('Pivot Table for Data Exchange'!$M$442)*100</f>
        <v>4.5678735567761457</v>
      </c>
      <c r="D334" s="112">
        <f>SUM(E334:G334)</f>
        <v>24.60402839518359</v>
      </c>
      <c r="E334" s="111">
        <f>('Pivot Table for Data Exchange'!$M$445)*100</f>
        <v>16.383027135369002</v>
      </c>
      <c r="F334" s="111">
        <f>('Pivot Table for Data Exchange'!$M$448)*100</f>
        <v>2.8288944248603412</v>
      </c>
      <c r="G334" s="119">
        <f>('Pivot Table for Data Exchange'!$M$451)*100</f>
        <v>5.3921068349542498</v>
      </c>
      <c r="H334" s="111">
        <f>('Pivot Table for Data Exchange'!$M$454)*100</f>
        <v>0.21281330150056801</v>
      </c>
      <c r="I334" s="118"/>
      <c r="J334" s="143"/>
      <c r="K334" s="143"/>
      <c r="L334" s="143"/>
      <c r="M334" s="143"/>
      <c r="N334" s="143"/>
      <c r="O334" s="143"/>
      <c r="P334" s="143"/>
      <c r="Q334" s="160">
        <f t="shared" si="15"/>
        <v>100.00000000000001</v>
      </c>
      <c r="R334" s="160"/>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row>
    <row r="335" spans="1:41" ht="15.75" customHeight="1">
      <c r="A335" s="118" t="s">
        <v>666</v>
      </c>
      <c r="B335" s="111">
        <f>('Pivot Table for Data Exchange'!$M$475)*100</f>
        <v>60.822244422478292</v>
      </c>
      <c r="C335" s="111">
        <f>('Pivot Table for Data Exchange'!$M$478)*100</f>
        <v>20.935664711366435</v>
      </c>
      <c r="D335" s="112">
        <f>SUM(E335:G335)</f>
        <v>18.24209086615528</v>
      </c>
      <c r="E335" s="111">
        <f>('Pivot Table for Data Exchange'!$M$481)*100</f>
        <v>15.902507712052923</v>
      </c>
      <c r="F335" s="111">
        <f>('Pivot Table for Data Exchange'!$M$484)*100</f>
        <v>2.0511163822088165</v>
      </c>
      <c r="G335" s="119">
        <f>('Pivot Table for Data Exchange'!$M$487)*100</f>
        <v>0.28846677189353942</v>
      </c>
      <c r="H335" s="111">
        <f>('Pivot Table for Data Exchange'!$M$490)*100</f>
        <v>0</v>
      </c>
      <c r="I335" s="118"/>
      <c r="J335" s="143"/>
      <c r="K335" s="143"/>
      <c r="L335" s="143"/>
      <c r="M335" s="143"/>
      <c r="N335" s="143"/>
      <c r="O335" s="143"/>
      <c r="P335" s="143"/>
      <c r="Q335" s="160">
        <f t="shared" si="15"/>
        <v>100</v>
      </c>
      <c r="R335" s="160"/>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row>
    <row r="336" spans="1:41" ht="15.75" customHeight="1">
      <c r="A336" s="118" t="s">
        <v>667</v>
      </c>
      <c r="B336" s="111">
        <f>('Pivot Table for Data Exchange'!$M$511)*100</f>
        <v>57.566574451460305</v>
      </c>
      <c r="C336" s="111">
        <f>('Pivot Table for Data Exchange'!$M$514)*100</f>
        <v>20.255235229999236</v>
      </c>
      <c r="D336" s="112">
        <f>SUM(E336:G336)</f>
        <v>22.178190318540455</v>
      </c>
      <c r="E336" s="111">
        <f>('Pivot Table for Data Exchange'!$M$517)*100</f>
        <v>19.196493114724273</v>
      </c>
      <c r="F336" s="111">
        <f>('Pivot Table for Data Exchange'!$M$520)*100</f>
        <v>2.9816972038161826</v>
      </c>
      <c r="G336" s="119">
        <f>('Pivot Table for Data Exchange'!$M$523)*100</f>
        <v>0</v>
      </c>
      <c r="H336" s="111">
        <f>('Pivot Table for Data Exchange'!$M$526)*100</f>
        <v>0</v>
      </c>
      <c r="I336" s="118"/>
      <c r="J336" s="143"/>
      <c r="K336" s="143"/>
      <c r="L336" s="143"/>
      <c r="M336" s="143"/>
      <c r="N336" s="143"/>
      <c r="O336" s="143"/>
      <c r="P336" s="143"/>
      <c r="Q336" s="160">
        <f t="shared" si="15"/>
        <v>100</v>
      </c>
      <c r="R336" s="160"/>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row>
    <row r="337" spans="1:41" ht="15.75" customHeight="1">
      <c r="A337" s="91" t="s">
        <v>668</v>
      </c>
      <c r="B337" s="122">
        <f>('Pivot Table for Data Exchange'!$M$547)*100</f>
        <v>0</v>
      </c>
      <c r="C337" s="122">
        <f>('Pivot Table for Data Exchange'!$M$550)*100</f>
        <v>0</v>
      </c>
      <c r="D337" s="123">
        <f>SUM(E337:G337)</f>
        <v>0</v>
      </c>
      <c r="E337" s="122">
        <f>('Pivot Table for Data Exchange'!$M$553)*100</f>
        <v>0</v>
      </c>
      <c r="F337" s="122">
        <f>('Pivot Table for Data Exchange'!$M$556)*100</f>
        <v>0</v>
      </c>
      <c r="G337" s="124">
        <f>('Pivot Table for Data Exchange'!$M$559)*100</f>
        <v>0</v>
      </c>
      <c r="H337" s="122">
        <f>('Pivot Table for Data Exchange'!$M$562)*100</f>
        <v>0</v>
      </c>
      <c r="I337" s="118"/>
      <c r="J337" s="143"/>
      <c r="K337" s="143"/>
      <c r="L337" s="143"/>
      <c r="M337" s="143"/>
      <c r="N337" s="143"/>
      <c r="O337" s="143"/>
      <c r="P337" s="143"/>
      <c r="Q337" s="160">
        <f t="shared" si="15"/>
        <v>0</v>
      </c>
      <c r="R337" s="160"/>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row>
    <row r="338" spans="1:41" s="166" customFormat="1" ht="21" customHeight="1">
      <c r="A338" s="58" t="s">
        <v>697</v>
      </c>
      <c r="B338" s="126"/>
      <c r="C338" s="126"/>
      <c r="D338" s="127"/>
      <c r="E338" s="126"/>
      <c r="F338" s="127"/>
      <c r="G338" s="127"/>
      <c r="H338" s="126"/>
      <c r="I338" s="58"/>
      <c r="J338" s="126"/>
      <c r="K338" s="126"/>
      <c r="L338" s="127"/>
      <c r="M338" s="126"/>
      <c r="N338" s="127"/>
      <c r="O338" s="127"/>
      <c r="P338" s="126"/>
      <c r="Q338" s="160">
        <f t="shared" si="15"/>
        <v>0</v>
      </c>
      <c r="R338" s="164"/>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row>
    <row r="339" spans="1:41" s="166" customFormat="1" ht="35.25" customHeight="1">
      <c r="A339" s="643" t="s">
        <v>704</v>
      </c>
      <c r="B339" s="651"/>
      <c r="C339" s="651"/>
      <c r="D339" s="651"/>
      <c r="E339" s="651"/>
      <c r="F339" s="651"/>
      <c r="G339" s="651"/>
      <c r="H339" s="651"/>
      <c r="I339" s="58"/>
      <c r="J339" s="60"/>
      <c r="K339" s="60"/>
      <c r="L339" s="60"/>
      <c r="M339" s="60"/>
      <c r="N339" s="60"/>
      <c r="O339" s="60"/>
      <c r="P339" s="136"/>
      <c r="Q339" s="160">
        <f t="shared" si="15"/>
        <v>0</v>
      </c>
      <c r="R339" s="169"/>
    </row>
    <row r="340" spans="1:41" s="166" customFormat="1">
      <c r="A340" s="60"/>
      <c r="B340" s="60"/>
      <c r="C340" s="60"/>
      <c r="D340" s="60"/>
      <c r="E340" s="60"/>
      <c r="F340" s="60"/>
      <c r="G340" s="60"/>
      <c r="H340" s="64" t="s">
        <v>1034</v>
      </c>
      <c r="I340" s="62"/>
      <c r="J340" s="62"/>
      <c r="K340" s="62"/>
      <c r="L340" s="62"/>
      <c r="M340" s="62"/>
      <c r="N340" s="62"/>
      <c r="O340" s="62"/>
      <c r="P340" s="62"/>
      <c r="Q340" s="160">
        <f t="shared" si="15"/>
        <v>0</v>
      </c>
      <c r="R340" s="168"/>
    </row>
    <row r="341" spans="1:41" ht="18">
      <c r="A341" s="31" t="s">
        <v>1022</v>
      </c>
      <c r="B341" s="86"/>
      <c r="C341" s="86"/>
      <c r="D341" s="86"/>
      <c r="E341" s="86"/>
      <c r="F341" s="86"/>
      <c r="G341" s="86"/>
      <c r="H341" s="87"/>
      <c r="I341" s="141"/>
      <c r="J341" s="118"/>
      <c r="K341" s="118"/>
      <c r="L341" s="87"/>
      <c r="M341" s="118"/>
      <c r="N341" s="118"/>
      <c r="O341" s="118"/>
      <c r="P341" s="118"/>
      <c r="Q341" s="160">
        <f t="shared" si="15"/>
        <v>0</v>
      </c>
    </row>
    <row r="342" spans="1:41">
      <c r="A342" s="37"/>
      <c r="B342" s="38"/>
      <c r="C342" s="38"/>
      <c r="D342" s="38"/>
      <c r="E342" s="38"/>
      <c r="F342" s="38"/>
      <c r="G342" s="38"/>
      <c r="H342" s="88"/>
      <c r="I342" s="141"/>
      <c r="J342" s="118"/>
      <c r="K342" s="118"/>
      <c r="L342" s="118"/>
      <c r="M342" s="118"/>
      <c r="N342" s="118"/>
      <c r="O342" s="118"/>
      <c r="P342" s="118"/>
      <c r="Q342" s="160">
        <f t="shared" si="15"/>
        <v>0</v>
      </c>
    </row>
    <row r="343" spans="1:41" ht="15.75">
      <c r="A343" s="89" t="s">
        <v>683</v>
      </c>
      <c r="B343" s="38"/>
      <c r="C343" s="38"/>
      <c r="D343" s="38"/>
      <c r="E343" s="38"/>
      <c r="F343" s="38"/>
      <c r="G343" s="38"/>
      <c r="H343" s="88"/>
      <c r="I343" s="141"/>
      <c r="J343" s="118"/>
      <c r="K343" s="118"/>
      <c r="L343" s="88"/>
      <c r="M343" s="118"/>
      <c r="N343" s="118"/>
      <c r="O343" s="118"/>
      <c r="P343" s="118"/>
      <c r="Q343" s="160">
        <f t="shared" si="15"/>
        <v>0</v>
      </c>
    </row>
    <row r="344" spans="1:41" ht="15.75">
      <c r="A344" s="89" t="s">
        <v>977</v>
      </c>
      <c r="B344" s="38"/>
      <c r="C344" s="38"/>
      <c r="D344" s="38"/>
      <c r="E344" s="38"/>
      <c r="F344" s="38"/>
      <c r="G344" s="38"/>
      <c r="H344" s="88"/>
      <c r="I344" s="141"/>
      <c r="J344" s="118"/>
      <c r="K344" s="118"/>
      <c r="L344" s="118"/>
      <c r="M344" s="118"/>
      <c r="N344" s="118"/>
      <c r="O344" s="118"/>
      <c r="P344" s="118"/>
      <c r="Q344" s="160">
        <f t="shared" si="15"/>
        <v>0</v>
      </c>
    </row>
    <row r="345" spans="1:41">
      <c r="A345" s="91"/>
      <c r="B345" s="92"/>
      <c r="C345" s="92"/>
      <c r="D345" s="92"/>
      <c r="E345" s="92"/>
      <c r="F345" s="92"/>
      <c r="G345" s="92"/>
      <c r="H345" s="92"/>
      <c r="I345" s="141"/>
      <c r="J345" s="118"/>
      <c r="K345" s="118"/>
      <c r="L345" s="118"/>
      <c r="M345" s="118"/>
      <c r="N345" s="118"/>
      <c r="O345" s="118"/>
      <c r="P345" s="118"/>
      <c r="Q345" s="160">
        <f t="shared" si="15"/>
        <v>0</v>
      </c>
    </row>
    <row r="346" spans="1:41">
      <c r="A346" s="95"/>
      <c r="B346" s="96" t="s">
        <v>685</v>
      </c>
      <c r="C346" s="96"/>
      <c r="D346" s="96"/>
      <c r="E346" s="96"/>
      <c r="F346" s="96"/>
      <c r="G346" s="96"/>
      <c r="H346" s="97"/>
      <c r="I346" s="141"/>
      <c r="J346" s="118"/>
      <c r="K346" s="118"/>
      <c r="L346" s="118"/>
      <c r="M346" s="118"/>
      <c r="N346" s="118"/>
      <c r="O346" s="118"/>
      <c r="P346" s="118"/>
      <c r="Q346" s="160">
        <f t="shared" si="15"/>
        <v>0</v>
      </c>
    </row>
    <row r="347" spans="1:41">
      <c r="A347" s="95"/>
      <c r="B347" s="96" t="s">
        <v>686</v>
      </c>
      <c r="C347" s="96"/>
      <c r="D347" s="647" t="s">
        <v>687</v>
      </c>
      <c r="E347" s="648"/>
      <c r="F347" s="648"/>
      <c r="G347" s="648"/>
      <c r="H347" s="101" t="s">
        <v>59</v>
      </c>
      <c r="I347" s="141"/>
      <c r="J347" s="118"/>
      <c r="K347" s="118"/>
      <c r="L347" s="118"/>
      <c r="M347" s="118"/>
      <c r="N347" s="118"/>
      <c r="O347" s="118"/>
      <c r="P347" s="118"/>
      <c r="Q347" s="160">
        <f t="shared" si="15"/>
        <v>0</v>
      </c>
    </row>
    <row r="348" spans="1:41" ht="36">
      <c r="A348" s="95"/>
      <c r="B348" s="102" t="s">
        <v>688</v>
      </c>
      <c r="C348" s="103" t="s">
        <v>689</v>
      </c>
      <c r="D348" s="104" t="s">
        <v>690</v>
      </c>
      <c r="E348" s="105" t="s">
        <v>9</v>
      </c>
      <c r="F348" s="102" t="s">
        <v>691</v>
      </c>
      <c r="G348" s="106" t="s">
        <v>692</v>
      </c>
      <c r="H348" s="107" t="s">
        <v>693</v>
      </c>
      <c r="I348" s="141"/>
      <c r="J348" s="118"/>
      <c r="K348" s="118"/>
      <c r="L348" s="118"/>
      <c r="M348" s="118"/>
      <c r="N348" s="118"/>
      <c r="O348" s="118"/>
      <c r="P348" s="118"/>
      <c r="Q348" s="160">
        <f t="shared" si="15"/>
        <v>0</v>
      </c>
    </row>
    <row r="349" spans="1:41" ht="15.75" customHeight="1">
      <c r="A349" s="115" t="s">
        <v>653</v>
      </c>
      <c r="B349" s="111">
        <f>('Pivot Table for Data Exchange'!$N$7)*100</f>
        <v>66.53648597978848</v>
      </c>
      <c r="C349" s="111">
        <f>('Pivot Table for Data Exchange'!$N$10)*100</f>
        <v>14.752054355142551</v>
      </c>
      <c r="D349" s="112">
        <f>SUM(E349:G349)</f>
        <v>18.711459665068961</v>
      </c>
      <c r="E349" s="111">
        <f>('Pivot Table for Data Exchange'!$N$13)*100</f>
        <v>18.392294869420265</v>
      </c>
      <c r="F349" s="111">
        <f>('Pivot Table for Data Exchange'!$N$16)*100</f>
        <v>0.15811419458888051</v>
      </c>
      <c r="G349" s="113">
        <f>('Pivot Table for Data Exchange'!$N$19)*100</f>
        <v>0.16105060105981686</v>
      </c>
      <c r="H349" s="111">
        <f>('Pivot Table for Data Exchange'!$N$22)*100</f>
        <v>0</v>
      </c>
      <c r="I349" s="118"/>
      <c r="J349" s="143"/>
      <c r="K349" s="143"/>
      <c r="L349" s="143"/>
      <c r="M349" s="143"/>
      <c r="N349" s="143"/>
      <c r="O349" s="143"/>
      <c r="P349" s="143"/>
      <c r="Q349" s="319">
        <f t="shared" si="15"/>
        <v>99.999999999999986</v>
      </c>
      <c r="R349" s="160"/>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row>
    <row r="350" spans="1:41" ht="15.75" customHeight="1">
      <c r="A350" s="118" t="s">
        <v>654</v>
      </c>
      <c r="B350" s="111">
        <f>('Pivot Table for Data Exchange'!$N$43)*100</f>
        <v>71.174776617504577</v>
      </c>
      <c r="C350" s="111">
        <f>('Pivot Table for Data Exchange'!$N$46)*100</f>
        <v>11.19173215631392</v>
      </c>
      <c r="D350" s="112">
        <f>SUM(E350:G350)</f>
        <v>17.633491226181505</v>
      </c>
      <c r="E350" s="111">
        <f>('Pivot Table for Data Exchange'!$N$49)*100</f>
        <v>14.415168478845947</v>
      </c>
      <c r="F350" s="111">
        <f>('Pivot Table for Data Exchange'!$N$52)*100</f>
        <v>3.1709548928840565</v>
      </c>
      <c r="G350" s="119">
        <f>('Pivot Table for Data Exchange'!$N$55)*100</f>
        <v>4.7367854451501774E-2</v>
      </c>
      <c r="H350" s="111">
        <f>('Pivot Table for Data Exchange'!$N$58)*100</f>
        <v>0</v>
      </c>
      <c r="I350" s="118"/>
      <c r="J350" s="143"/>
      <c r="K350" s="143"/>
      <c r="L350" s="143"/>
      <c r="M350" s="143"/>
      <c r="N350" s="143"/>
      <c r="O350" s="143"/>
      <c r="P350" s="143"/>
      <c r="Q350" s="160">
        <f t="shared" si="15"/>
        <v>100</v>
      </c>
      <c r="R350" s="160"/>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row>
    <row r="351" spans="1:41" ht="15.75" customHeight="1">
      <c r="A351" s="118" t="s">
        <v>655</v>
      </c>
      <c r="B351" s="111">
        <f>('Pivot Table for Data Exchange'!$N$79)*100</f>
        <v>0</v>
      </c>
      <c r="C351" s="111">
        <f>('Pivot Table for Data Exchange'!$N$82)*100</f>
        <v>0</v>
      </c>
      <c r="D351" s="112">
        <f>SUM(E351:G351)</f>
        <v>0</v>
      </c>
      <c r="E351" s="111">
        <f>('Pivot Table for Data Exchange'!$N$85)*100</f>
        <v>0</v>
      </c>
      <c r="F351" s="120">
        <f>('Pivot Table for Data Exchange'!$N$88)*100</f>
        <v>0</v>
      </c>
      <c r="G351" s="119">
        <f>('Pivot Table for Data Exchange'!$N$91)*100</f>
        <v>0</v>
      </c>
      <c r="H351" s="111">
        <f>('Pivot Table for Data Exchange'!$N$94)*100</f>
        <v>0</v>
      </c>
      <c r="I351" s="118"/>
      <c r="J351" s="143"/>
      <c r="K351" s="143"/>
      <c r="L351" s="143"/>
      <c r="M351" s="143"/>
      <c r="N351" s="143"/>
      <c r="O351" s="143"/>
      <c r="P351" s="143"/>
      <c r="Q351" s="160">
        <f t="shared" si="15"/>
        <v>0</v>
      </c>
      <c r="R351" s="160"/>
      <c r="S351" s="161"/>
      <c r="T351" s="167"/>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row>
    <row r="352" spans="1:41" ht="15.75" customHeight="1">
      <c r="A352" s="118" t="s">
        <v>695</v>
      </c>
      <c r="B352" s="111">
        <f>('Pivot Table for Data Exchange'!$N$115)*100</f>
        <v>66.1878749888063</v>
      </c>
      <c r="C352" s="111">
        <f>('Pivot Table for Data Exchange'!$N$118)*100</f>
        <v>5.467896480702068</v>
      </c>
      <c r="D352" s="112">
        <f>SUM(E352:G352)</f>
        <v>28.344228530491627</v>
      </c>
      <c r="E352" s="111">
        <f>('Pivot Table for Data Exchange'!$N$121)*100</f>
        <v>14.524939554043161</v>
      </c>
      <c r="F352" s="111">
        <f>('Pivot Table for Data Exchange'!$N$124)*100</f>
        <v>0.19700904450613413</v>
      </c>
      <c r="G352" s="119">
        <f>('Pivot Table for Data Exchange'!$N$127)*100</f>
        <v>13.62227993194233</v>
      </c>
      <c r="H352" s="111">
        <f>('Pivot Table for Data Exchange'!$N$130)*100</f>
        <v>0</v>
      </c>
      <c r="I352" s="118"/>
      <c r="J352" s="143"/>
      <c r="K352" s="143"/>
      <c r="L352" s="143"/>
      <c r="M352" s="143"/>
      <c r="N352" s="143"/>
      <c r="O352" s="143"/>
      <c r="P352" s="143"/>
      <c r="Q352" s="160">
        <f t="shared" si="15"/>
        <v>100</v>
      </c>
      <c r="R352" s="160"/>
      <c r="S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row>
    <row r="353" spans="1:41" ht="15.75" customHeight="1">
      <c r="A353" s="118"/>
      <c r="B353" s="111"/>
      <c r="C353" s="111"/>
      <c r="D353" s="112"/>
      <c r="E353" s="111"/>
      <c r="F353" s="111"/>
      <c r="G353" s="119"/>
      <c r="H353" s="111"/>
      <c r="I353" s="118"/>
      <c r="J353" s="143"/>
      <c r="K353" s="143"/>
      <c r="L353" s="143"/>
      <c r="M353" s="143"/>
      <c r="N353" s="143"/>
      <c r="O353" s="143"/>
      <c r="P353" s="143"/>
      <c r="Q353" s="160">
        <f t="shared" si="15"/>
        <v>0</v>
      </c>
      <c r="R353" s="160"/>
      <c r="S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row>
    <row r="354" spans="1:41" ht="15.75" customHeight="1">
      <c r="A354" s="118" t="s">
        <v>657</v>
      </c>
      <c r="B354" s="111">
        <f>('Pivot Table for Data Exchange'!$N$151)*100</f>
        <v>0</v>
      </c>
      <c r="C354" s="111">
        <f>('Pivot Table for Data Exchange'!$N$154)*100</f>
        <v>0</v>
      </c>
      <c r="D354" s="112">
        <f>SUM(E354:G354)</f>
        <v>0</v>
      </c>
      <c r="E354" s="111">
        <f>('Pivot Table for Data Exchange'!$N$157)*100</f>
        <v>0</v>
      </c>
      <c r="F354" s="111">
        <f>('Pivot Table for Data Exchange'!$N$160)*100</f>
        <v>0</v>
      </c>
      <c r="G354" s="119">
        <f>('Pivot Table for Data Exchange'!$N$163)*100</f>
        <v>0</v>
      </c>
      <c r="H354" s="111">
        <f>('Pivot Table for Data Exchange'!$N$166)*100</f>
        <v>0</v>
      </c>
      <c r="I354" s="118"/>
      <c r="J354" s="143"/>
      <c r="K354" s="143"/>
      <c r="L354" s="143"/>
      <c r="M354" s="143"/>
      <c r="N354" s="143"/>
      <c r="O354" s="143"/>
      <c r="P354" s="143"/>
      <c r="Q354" s="160">
        <f t="shared" si="15"/>
        <v>0</v>
      </c>
      <c r="R354" s="160"/>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row>
    <row r="355" spans="1:41" ht="15.75" customHeight="1">
      <c r="A355" s="118" t="s">
        <v>658</v>
      </c>
      <c r="B355" s="111">
        <f>('Pivot Table for Data Exchange'!$N$187)*100</f>
        <v>69.71082427417366</v>
      </c>
      <c r="C355" s="111">
        <f>('Pivot Table for Data Exchange'!$N$190)*100</f>
        <v>2.2151417008298906</v>
      </c>
      <c r="D355" s="112">
        <f>SUM(E355:G355)</f>
        <v>28.074034024996454</v>
      </c>
      <c r="E355" s="111">
        <f>('Pivot Table for Data Exchange'!$N$193)*100</f>
        <v>26.96016419344171</v>
      </c>
      <c r="F355" s="111">
        <f>('Pivot Table for Data Exchange'!$N$196)*100</f>
        <v>1.1138698315547459</v>
      </c>
      <c r="G355" s="121">
        <f>('Pivot Table for Data Exchange'!$N$199)*100</f>
        <v>0</v>
      </c>
      <c r="H355" s="111">
        <f>('Pivot Table for Data Exchange'!$N$202)*100</f>
        <v>0</v>
      </c>
      <c r="I355" s="118"/>
      <c r="J355" s="143"/>
      <c r="K355" s="143"/>
      <c r="L355" s="143"/>
      <c r="M355" s="143"/>
      <c r="N355" s="143"/>
      <c r="O355" s="143"/>
      <c r="P355" s="143"/>
      <c r="Q355" s="160">
        <f t="shared" si="15"/>
        <v>100</v>
      </c>
      <c r="R355" s="160"/>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row>
    <row r="356" spans="1:41" ht="15.75" customHeight="1">
      <c r="A356" s="118" t="s">
        <v>659</v>
      </c>
      <c r="B356" s="111">
        <f>('Pivot Table for Data Exchange'!$N$223)*100</f>
        <v>0</v>
      </c>
      <c r="C356" s="111">
        <f>('Pivot Table for Data Exchange'!$N$226)*100</f>
        <v>0</v>
      </c>
      <c r="D356" s="112">
        <f>SUM(E356:G356)</f>
        <v>0</v>
      </c>
      <c r="E356" s="111">
        <f>('Pivot Table for Data Exchange'!$N$229)*100</f>
        <v>0</v>
      </c>
      <c r="F356" s="111">
        <f>('Pivot Table for Data Exchange'!$N$232)*100</f>
        <v>0</v>
      </c>
      <c r="G356" s="119">
        <f>('Pivot Table for Data Exchange'!$N$235)*100</f>
        <v>0</v>
      </c>
      <c r="H356" s="111">
        <f>('Pivot Table for Data Exchange'!$N$238)*100</f>
        <v>0</v>
      </c>
      <c r="I356" s="118"/>
      <c r="J356" s="143"/>
      <c r="K356" s="143"/>
      <c r="L356" s="143"/>
      <c r="M356" s="143"/>
      <c r="N356" s="143"/>
      <c r="O356" s="143"/>
      <c r="P356" s="143"/>
      <c r="Q356" s="160">
        <f t="shared" si="15"/>
        <v>0</v>
      </c>
      <c r="R356" s="160"/>
      <c r="S356" s="161"/>
      <c r="T356" s="167"/>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row>
    <row r="357" spans="1:41" ht="15.75" customHeight="1">
      <c r="A357" s="118" t="s">
        <v>700</v>
      </c>
      <c r="B357" s="111">
        <f>('Pivot Table for Data Exchange'!$N$259)*100</f>
        <v>76.565617362934574</v>
      </c>
      <c r="C357" s="111">
        <f>('Pivot Table for Data Exchange'!$N$262)*100</f>
        <v>9.4002736962537572</v>
      </c>
      <c r="D357" s="112">
        <f>SUM(E357:G357)</f>
        <v>14.009852256579121</v>
      </c>
      <c r="E357" s="111">
        <f>('Pivot Table for Data Exchange'!$N$265)*100</f>
        <v>12.979751732836881</v>
      </c>
      <c r="F357" s="111">
        <f>('Pivot Table for Data Exchange'!$N$268)*100</f>
        <v>1.0301005237422403</v>
      </c>
      <c r="G357" s="119">
        <f>('Pivot Table for Data Exchange'!$N$271)*100</f>
        <v>0</v>
      </c>
      <c r="H357" s="120">
        <f>('Pivot Table for Data Exchange'!$N$274)*100</f>
        <v>2.4256684232548831E-2</v>
      </c>
      <c r="I357" s="118"/>
      <c r="J357" s="143"/>
      <c r="K357" s="143"/>
      <c r="L357" s="143"/>
      <c r="M357" s="143"/>
      <c r="N357" s="143"/>
      <c r="O357" s="143"/>
      <c r="P357" s="143"/>
      <c r="Q357" s="160">
        <f t="shared" si="15"/>
        <v>100.00000000000001</v>
      </c>
      <c r="R357" s="160"/>
      <c r="S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row>
    <row r="358" spans="1:41" ht="12.75" customHeight="1">
      <c r="A358" s="118"/>
      <c r="B358" s="111"/>
      <c r="C358" s="111"/>
      <c r="D358" s="112"/>
      <c r="E358" s="111"/>
      <c r="F358" s="111"/>
      <c r="G358" s="119"/>
      <c r="H358" s="111"/>
      <c r="I358" s="118"/>
      <c r="J358" s="143"/>
      <c r="K358" s="143"/>
      <c r="L358" s="143"/>
      <c r="M358" s="143"/>
      <c r="N358" s="143"/>
      <c r="O358" s="143"/>
      <c r="P358" s="143"/>
      <c r="Q358" s="160">
        <f t="shared" si="15"/>
        <v>0</v>
      </c>
      <c r="R358" s="160"/>
      <c r="S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row>
    <row r="359" spans="1:41" ht="15.75" customHeight="1">
      <c r="A359" s="118" t="s">
        <v>703</v>
      </c>
      <c r="B359" s="144">
        <f>('Pivot Table for Data Exchange'!$N$295)*100</f>
        <v>90.252716599358834</v>
      </c>
      <c r="C359" s="111">
        <f>('Pivot Table for Data Exchange'!$N$298)*100</f>
        <v>0</v>
      </c>
      <c r="D359" s="112">
        <f>SUM(E359:G359)</f>
        <v>9.7472834006411588</v>
      </c>
      <c r="E359" s="111">
        <f>('Pivot Table for Data Exchange'!$N$301)*100</f>
        <v>9.7472834006411588</v>
      </c>
      <c r="F359" s="111">
        <f>('Pivot Table for Data Exchange'!$N$304)*100</f>
        <v>0</v>
      </c>
      <c r="G359" s="119">
        <f>('Pivot Table for Data Exchange'!$N$307)*100</f>
        <v>0</v>
      </c>
      <c r="H359" s="111">
        <f>('Pivot Table for Data Exchange'!$N$310)*100</f>
        <v>0</v>
      </c>
      <c r="I359" s="148"/>
      <c r="J359" s="143"/>
      <c r="K359" s="143"/>
      <c r="L359" s="143"/>
      <c r="M359" s="143"/>
      <c r="N359" s="143"/>
      <c r="O359" s="143"/>
      <c r="P359" s="143"/>
      <c r="Q359" s="160">
        <f t="shared" si="15"/>
        <v>100</v>
      </c>
      <c r="R359" s="160"/>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row>
    <row r="360" spans="1:41" ht="15.75" customHeight="1">
      <c r="A360" s="118" t="s">
        <v>662</v>
      </c>
      <c r="B360" s="111">
        <f>('Pivot Table for Data Exchange'!$N$331)*100</f>
        <v>70.231460039536856</v>
      </c>
      <c r="C360" s="111">
        <f>('Pivot Table for Data Exchange'!$N$334)*100</f>
        <v>5.1826037842417394</v>
      </c>
      <c r="D360" s="112">
        <f>SUM(E360:G360)</f>
        <v>24.585936176221406</v>
      </c>
      <c r="E360" s="111">
        <f>('Pivot Table for Data Exchange'!$N$337)*100</f>
        <v>22.341372493645864</v>
      </c>
      <c r="F360" s="111">
        <f>('Pivot Table for Data Exchange'!$N$340)*100</f>
        <v>1.3493363456650662</v>
      </c>
      <c r="G360" s="119">
        <f>('Pivot Table for Data Exchange'!$N$343)*100</f>
        <v>0.89522733691047729</v>
      </c>
      <c r="H360" s="111">
        <f>('Pivot Table for Data Exchange'!$N$346)*100</f>
        <v>0</v>
      </c>
      <c r="I360" s="118"/>
      <c r="J360" s="143"/>
      <c r="K360" s="143"/>
      <c r="L360" s="143"/>
      <c r="M360" s="143"/>
      <c r="N360" s="143"/>
      <c r="O360" s="143"/>
      <c r="P360" s="143"/>
      <c r="Q360" s="160">
        <f t="shared" si="15"/>
        <v>100</v>
      </c>
      <c r="R360" s="160"/>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row>
    <row r="361" spans="1:41" ht="15.75" customHeight="1">
      <c r="A361" s="118" t="s">
        <v>663</v>
      </c>
      <c r="B361" s="111">
        <f>('Pivot Table for Data Exchange'!$N$367)*100</f>
        <v>60.592497868712705</v>
      </c>
      <c r="C361" s="111">
        <f>('Pivot Table for Data Exchange'!$N$370)*100</f>
        <v>7.9669762641898858</v>
      </c>
      <c r="D361" s="112">
        <f>SUM(E361:G361)</f>
        <v>31.44052586709741</v>
      </c>
      <c r="E361" s="111">
        <f>('Pivot Table for Data Exchange'!$N$373)*100</f>
        <v>20.813703055592946</v>
      </c>
      <c r="F361" s="111">
        <f>('Pivot Table for Data Exchange'!$N$376)*100</f>
        <v>5.048010050702203</v>
      </c>
      <c r="G361" s="119">
        <f>('Pivot Table for Data Exchange'!$N$379)*100</f>
        <v>5.5788127608022613</v>
      </c>
      <c r="H361" s="114">
        <f>('Pivot Table for Data Exchange'!$N$382)*100</f>
        <v>0</v>
      </c>
      <c r="I361" s="118"/>
      <c r="J361" s="143"/>
      <c r="K361" s="143"/>
      <c r="L361" s="143"/>
      <c r="M361" s="143"/>
      <c r="N361" s="143"/>
      <c r="O361" s="143"/>
      <c r="P361" s="143"/>
      <c r="Q361" s="160">
        <f t="shared" si="15"/>
        <v>100</v>
      </c>
      <c r="R361" s="160"/>
      <c r="S361" s="161"/>
      <c r="T361" s="167"/>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row>
    <row r="362" spans="1:41" ht="15.75" customHeight="1">
      <c r="A362" s="118" t="s">
        <v>664</v>
      </c>
      <c r="B362" s="111">
        <f>('Pivot Table for Data Exchange'!$N$403)*100</f>
        <v>84.371820093616449</v>
      </c>
      <c r="C362" s="111">
        <f>('Pivot Table for Data Exchange'!$N$406)*100</f>
        <v>2.7843260294416932</v>
      </c>
      <c r="D362" s="112">
        <f>SUM(E362:G362)</f>
        <v>12.843853876941864</v>
      </c>
      <c r="E362" s="111">
        <f>('Pivot Table for Data Exchange'!$N$409)*100</f>
        <v>9.5999253781968665</v>
      </c>
      <c r="F362" s="111">
        <f>('Pivot Table for Data Exchange'!$N$412)*100</f>
        <v>3.2439284987449968</v>
      </c>
      <c r="G362" s="119">
        <f>('Pivot Table for Data Exchange'!$N$415)*100</f>
        <v>0</v>
      </c>
      <c r="H362" s="111">
        <f>('Pivot Table for Data Exchange'!$N$418)*100</f>
        <v>0</v>
      </c>
      <c r="I362" s="118"/>
      <c r="J362" s="143"/>
      <c r="K362" s="143"/>
      <c r="L362" s="143"/>
      <c r="M362" s="143"/>
      <c r="N362" s="143"/>
      <c r="O362" s="143"/>
      <c r="P362" s="143"/>
      <c r="Q362" s="319">
        <f t="shared" si="15"/>
        <v>100</v>
      </c>
      <c r="R362" s="160"/>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row>
    <row r="363" spans="1:41" ht="12" customHeight="1">
      <c r="A363" s="118"/>
      <c r="B363" s="111"/>
      <c r="C363" s="111"/>
      <c r="D363" s="112"/>
      <c r="E363" s="111"/>
      <c r="F363" s="111"/>
      <c r="G363" s="119"/>
      <c r="H363" s="111"/>
      <c r="I363" s="118"/>
      <c r="J363" s="143"/>
      <c r="K363" s="143"/>
      <c r="L363" s="143"/>
      <c r="M363" s="143"/>
      <c r="N363" s="143"/>
      <c r="O363" s="143"/>
      <c r="P363" s="143"/>
      <c r="Q363" s="160">
        <f t="shared" si="15"/>
        <v>0</v>
      </c>
      <c r="R363" s="160"/>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row>
    <row r="364" spans="1:41" ht="15.75" customHeight="1">
      <c r="A364" s="118" t="s">
        <v>665</v>
      </c>
      <c r="B364" s="111">
        <f>('Pivot Table for Data Exchange'!$N$439)*100</f>
        <v>65.018375294827493</v>
      </c>
      <c r="C364" s="111">
        <f>('Pivot Table for Data Exchange'!$N$442)*100</f>
        <v>11.86852065163732</v>
      </c>
      <c r="D364" s="112">
        <f>SUM(E364:G364)</f>
        <v>22.715429762492459</v>
      </c>
      <c r="E364" s="111">
        <f>('Pivot Table for Data Exchange'!$N$445)*100</f>
        <v>10.34364543908727</v>
      </c>
      <c r="F364" s="111">
        <f>('Pivot Table for Data Exchange'!$N$448)*100</f>
        <v>1.3178103230760791</v>
      </c>
      <c r="G364" s="119">
        <f>('Pivot Table for Data Exchange'!$N$451)*100</f>
        <v>11.053974000329109</v>
      </c>
      <c r="H364" s="111">
        <f>('Pivot Table for Data Exchange'!$N$454)*100</f>
        <v>0.39767429104272944</v>
      </c>
      <c r="I364" s="118"/>
      <c r="J364" s="143"/>
      <c r="K364" s="143"/>
      <c r="L364" s="143"/>
      <c r="M364" s="143"/>
      <c r="N364" s="143"/>
      <c r="O364" s="143"/>
      <c r="P364" s="143"/>
      <c r="Q364" s="160">
        <f t="shared" si="15"/>
        <v>100.00000000000001</v>
      </c>
      <c r="R364" s="160"/>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row>
    <row r="365" spans="1:41" ht="15.75" customHeight="1">
      <c r="A365" s="118" t="s">
        <v>666</v>
      </c>
      <c r="B365" s="111">
        <f>('Pivot Table for Data Exchange'!$N$475)*100</f>
        <v>65.263435764408527</v>
      </c>
      <c r="C365" s="111">
        <f>('Pivot Table for Data Exchange'!$N$478)*100</f>
        <v>12.298380391765605</v>
      </c>
      <c r="D365" s="112">
        <f>SUM(E365:G365)</f>
        <v>22.438183843825865</v>
      </c>
      <c r="E365" s="111">
        <f>('Pivot Table for Data Exchange'!$N$481)*100</f>
        <v>19.840408726595495</v>
      </c>
      <c r="F365" s="111">
        <f>('Pivot Table for Data Exchange'!$N$484)*100</f>
        <v>1.9355482390501846</v>
      </c>
      <c r="G365" s="119">
        <f>('Pivot Table for Data Exchange'!$N$487)*100</f>
        <v>0.66222687818018555</v>
      </c>
      <c r="H365" s="111">
        <f>('Pivot Table for Data Exchange'!$N$490)*100</f>
        <v>0</v>
      </c>
      <c r="I365" s="118"/>
      <c r="J365" s="143"/>
      <c r="K365" s="143"/>
      <c r="L365" s="143"/>
      <c r="M365" s="143"/>
      <c r="N365" s="143"/>
      <c r="O365" s="143"/>
      <c r="P365" s="143"/>
      <c r="Q365" s="160">
        <f t="shared" si="15"/>
        <v>100</v>
      </c>
      <c r="R365" s="160"/>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row>
    <row r="366" spans="1:41" ht="15.75" customHeight="1">
      <c r="A366" s="118" t="s">
        <v>667</v>
      </c>
      <c r="B366" s="111">
        <f>('Pivot Table for Data Exchange'!$N$511)*100</f>
        <v>48.387067666459124</v>
      </c>
      <c r="C366" s="111">
        <f>('Pivot Table for Data Exchange'!$N$514)*100</f>
        <v>18.906048383458305</v>
      </c>
      <c r="D366" s="112">
        <f>SUM(E366:G366)</f>
        <v>32.706883950082563</v>
      </c>
      <c r="E366" s="111">
        <f>('Pivot Table for Data Exchange'!$N$517)*100</f>
        <v>25.672243126426824</v>
      </c>
      <c r="F366" s="111">
        <f>('Pivot Table for Data Exchange'!$N$520)*100</f>
        <v>7.0346408236557396</v>
      </c>
      <c r="G366" s="119">
        <f>('Pivot Table for Data Exchange'!$N$523)*100</f>
        <v>0</v>
      </c>
      <c r="H366" s="111">
        <f>('Pivot Table for Data Exchange'!$N$526)*100</f>
        <v>0</v>
      </c>
      <c r="I366" s="118"/>
      <c r="J366" s="143"/>
      <c r="K366" s="143"/>
      <c r="L366" s="143"/>
      <c r="M366" s="143"/>
      <c r="N366" s="143"/>
      <c r="O366" s="143"/>
      <c r="P366" s="143"/>
      <c r="Q366" s="160">
        <f t="shared" si="15"/>
        <v>100</v>
      </c>
      <c r="R366" s="160"/>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row>
    <row r="367" spans="1:41" ht="15.75" customHeight="1">
      <c r="A367" s="91" t="s">
        <v>705</v>
      </c>
      <c r="B367" s="122">
        <f>('Pivot Table for Data Exchange'!$N$547)*100</f>
        <v>66.561153326656438</v>
      </c>
      <c r="C367" s="122">
        <f>('Pivot Table for Data Exchange'!$N$550)*100</f>
        <v>16.224628559352404</v>
      </c>
      <c r="D367" s="123">
        <f>SUM(E367:G367)</f>
        <v>17.137035641763067</v>
      </c>
      <c r="E367" s="122">
        <f>('Pivot Table for Data Exchange'!$N$553)*100</f>
        <v>14.813981053540745</v>
      </c>
      <c r="F367" s="122">
        <f>('Pivot Table for Data Exchange'!$N$556)*100</f>
        <v>2.3147850376264554</v>
      </c>
      <c r="G367" s="124">
        <f>('Pivot Table for Data Exchange'!$N$559)*100</f>
        <v>8.2695505958670628E-3</v>
      </c>
      <c r="H367" s="122">
        <f>('Pivot Table for Data Exchange'!$N$562)*100</f>
        <v>7.7182472228092575E-2</v>
      </c>
      <c r="I367" s="118"/>
      <c r="J367" s="143"/>
      <c r="K367" s="143"/>
      <c r="L367" s="143"/>
      <c r="M367" s="143"/>
      <c r="N367" s="143"/>
      <c r="O367" s="143"/>
      <c r="P367" s="143"/>
      <c r="Q367" s="160">
        <f t="shared" si="15"/>
        <v>99.999999999999986</v>
      </c>
      <c r="R367" s="160"/>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row>
    <row r="368" spans="1:41" s="166" customFormat="1" ht="18" customHeight="1">
      <c r="A368" s="58" t="s">
        <v>697</v>
      </c>
      <c r="B368" s="126"/>
      <c r="C368" s="126"/>
      <c r="D368" s="127"/>
      <c r="E368" s="126"/>
      <c r="F368" s="127"/>
      <c r="G368" s="127"/>
      <c r="H368" s="126"/>
      <c r="I368" s="58"/>
      <c r="J368" s="126"/>
      <c r="K368" s="126"/>
      <c r="L368" s="127"/>
      <c r="M368" s="126"/>
      <c r="N368" s="127"/>
      <c r="O368" s="127"/>
      <c r="P368" s="126"/>
      <c r="Q368" s="160">
        <f t="shared" si="15"/>
        <v>0</v>
      </c>
      <c r="R368" s="164"/>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row>
    <row r="369" spans="1:41" s="166" customFormat="1" ht="27.75" customHeight="1">
      <c r="A369" s="643" t="s">
        <v>704</v>
      </c>
      <c r="B369" s="651"/>
      <c r="C369" s="651"/>
      <c r="D369" s="651"/>
      <c r="E369" s="651"/>
      <c r="F369" s="651"/>
      <c r="G369" s="651"/>
      <c r="H369" s="651"/>
      <c r="I369" s="58"/>
      <c r="J369" s="60"/>
      <c r="K369" s="60"/>
      <c r="L369" s="60"/>
      <c r="M369" s="60"/>
      <c r="N369" s="60"/>
      <c r="O369" s="60"/>
      <c r="P369" s="136"/>
      <c r="Q369" s="160">
        <f t="shared" si="15"/>
        <v>0</v>
      </c>
      <c r="R369" s="169"/>
    </row>
    <row r="370" spans="1:41" s="166" customFormat="1" ht="13.5" customHeight="1">
      <c r="A370" s="134"/>
      <c r="B370" s="60"/>
      <c r="C370" s="60"/>
      <c r="D370" s="60"/>
      <c r="E370" s="60"/>
      <c r="F370" s="60"/>
      <c r="G370" s="60"/>
      <c r="H370" s="62"/>
      <c r="I370" s="134"/>
      <c r="J370" s="60"/>
      <c r="K370" s="60"/>
      <c r="L370" s="60"/>
      <c r="M370" s="60"/>
      <c r="N370" s="60"/>
      <c r="O370" s="60"/>
      <c r="P370" s="60"/>
      <c r="Q370" s="160">
        <f t="shared" si="15"/>
        <v>0</v>
      </c>
      <c r="R370" s="169"/>
    </row>
    <row r="371" spans="1:41" s="166" customFormat="1">
      <c r="A371" s="62"/>
      <c r="B371" s="126"/>
      <c r="C371" s="126"/>
      <c r="D371" s="127"/>
      <c r="E371" s="126"/>
      <c r="F371" s="127"/>
      <c r="G371" s="127"/>
      <c r="H371" s="64" t="s">
        <v>1034</v>
      </c>
      <c r="I371" s="147"/>
      <c r="J371" s="62"/>
      <c r="K371" s="62"/>
      <c r="L371" s="62"/>
      <c r="M371" s="62"/>
      <c r="N371" s="62"/>
      <c r="O371" s="62"/>
      <c r="P371" s="62"/>
      <c r="Q371" s="160">
        <f t="shared" si="15"/>
        <v>0</v>
      </c>
      <c r="R371" s="164"/>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row>
    <row r="372" spans="1:41" ht="18">
      <c r="A372" s="31" t="s">
        <v>1023</v>
      </c>
      <c r="B372" s="86"/>
      <c r="C372" s="86"/>
      <c r="D372" s="86"/>
      <c r="E372" s="86"/>
      <c r="F372" s="86"/>
      <c r="G372" s="86"/>
      <c r="H372" s="87"/>
      <c r="I372" s="141"/>
      <c r="J372" s="118"/>
      <c r="K372" s="118"/>
      <c r="L372" s="118"/>
      <c r="M372" s="118"/>
      <c r="N372" s="118"/>
      <c r="O372" s="118"/>
      <c r="P372" s="118"/>
      <c r="Q372" s="160">
        <f t="shared" si="15"/>
        <v>0</v>
      </c>
    </row>
    <row r="373" spans="1:41">
      <c r="A373" s="37"/>
      <c r="B373" s="38"/>
      <c r="C373" s="38"/>
      <c r="D373" s="38"/>
      <c r="E373" s="38"/>
      <c r="F373" s="38"/>
      <c r="G373" s="38"/>
      <c r="H373" s="88"/>
      <c r="I373" s="141"/>
      <c r="J373" s="118"/>
      <c r="K373" s="118"/>
      <c r="L373" s="118"/>
      <c r="M373" s="118"/>
      <c r="N373" s="118"/>
      <c r="O373" s="118"/>
      <c r="P373" s="118"/>
      <c r="Q373" s="160">
        <f t="shared" si="15"/>
        <v>0</v>
      </c>
    </row>
    <row r="374" spans="1:41" ht="15.75">
      <c r="A374" s="89" t="s">
        <v>683</v>
      </c>
      <c r="B374" s="38"/>
      <c r="C374" s="38"/>
      <c r="D374" s="38"/>
      <c r="E374" s="38"/>
      <c r="F374" s="38"/>
      <c r="G374" s="38"/>
      <c r="H374" s="88"/>
      <c r="I374" s="141"/>
      <c r="J374" s="118"/>
      <c r="K374" s="118"/>
      <c r="L374" s="118"/>
      <c r="M374" s="118"/>
      <c r="N374" s="118"/>
      <c r="O374" s="118"/>
      <c r="P374" s="118"/>
      <c r="Q374" s="160">
        <f t="shared" si="15"/>
        <v>0</v>
      </c>
    </row>
    <row r="375" spans="1:41" ht="15.75">
      <c r="A375" s="89" t="s">
        <v>976</v>
      </c>
      <c r="B375" s="38"/>
      <c r="C375" s="38"/>
      <c r="D375" s="38"/>
      <c r="E375" s="38"/>
      <c r="F375" s="38"/>
      <c r="G375" s="38"/>
      <c r="H375" s="88"/>
      <c r="I375" s="141"/>
      <c r="J375" s="118"/>
      <c r="K375" s="118"/>
      <c r="L375" s="118"/>
      <c r="M375" s="118"/>
      <c r="N375" s="118"/>
      <c r="O375" s="118"/>
      <c r="P375" s="118"/>
      <c r="Q375" s="160">
        <f t="shared" si="15"/>
        <v>0</v>
      </c>
    </row>
    <row r="376" spans="1:41">
      <c r="A376" s="91"/>
      <c r="B376" s="92"/>
      <c r="C376" s="92"/>
      <c r="D376" s="92"/>
      <c r="E376" s="92"/>
      <c r="F376" s="92"/>
      <c r="G376" s="92"/>
      <c r="H376" s="92"/>
      <c r="I376" s="141"/>
      <c r="J376" s="118"/>
      <c r="K376" s="118"/>
      <c r="L376" s="118"/>
      <c r="M376" s="118"/>
      <c r="N376" s="118"/>
      <c r="O376" s="118"/>
      <c r="P376" s="118"/>
      <c r="Q376" s="160">
        <f t="shared" si="15"/>
        <v>0</v>
      </c>
    </row>
    <row r="377" spans="1:41">
      <c r="A377" s="95"/>
      <c r="B377" s="96" t="s">
        <v>685</v>
      </c>
      <c r="C377" s="96"/>
      <c r="D377" s="96"/>
      <c r="E377" s="96"/>
      <c r="F377" s="96"/>
      <c r="G377" s="96"/>
      <c r="H377" s="97"/>
      <c r="I377" s="141"/>
      <c r="J377" s="118"/>
      <c r="K377" s="118"/>
      <c r="L377" s="118"/>
      <c r="M377" s="118"/>
      <c r="N377" s="118"/>
      <c r="O377" s="118"/>
      <c r="P377" s="118"/>
      <c r="Q377" s="160">
        <f t="shared" si="15"/>
        <v>0</v>
      </c>
    </row>
    <row r="378" spans="1:41">
      <c r="A378" s="95"/>
      <c r="B378" s="96" t="s">
        <v>686</v>
      </c>
      <c r="C378" s="96"/>
      <c r="D378" s="647" t="s">
        <v>687</v>
      </c>
      <c r="E378" s="648"/>
      <c r="F378" s="648"/>
      <c r="G378" s="648"/>
      <c r="H378" s="101" t="s">
        <v>59</v>
      </c>
      <c r="I378" s="141"/>
      <c r="J378" s="118"/>
      <c r="K378" s="118"/>
      <c r="L378" s="118"/>
      <c r="M378" s="118"/>
      <c r="N378" s="118"/>
      <c r="O378" s="118"/>
      <c r="P378" s="118"/>
      <c r="Q378" s="160">
        <f t="shared" si="15"/>
        <v>0</v>
      </c>
    </row>
    <row r="379" spans="1:41" ht="36">
      <c r="A379" s="95"/>
      <c r="B379" s="102" t="s">
        <v>688</v>
      </c>
      <c r="C379" s="103" t="s">
        <v>689</v>
      </c>
      <c r="D379" s="104" t="s">
        <v>690</v>
      </c>
      <c r="E379" s="105" t="s">
        <v>9</v>
      </c>
      <c r="F379" s="102" t="s">
        <v>691</v>
      </c>
      <c r="G379" s="106" t="s">
        <v>692</v>
      </c>
      <c r="H379" s="107" t="s">
        <v>693</v>
      </c>
      <c r="I379" s="141"/>
      <c r="J379" s="118"/>
      <c r="K379" s="118"/>
      <c r="L379" s="118"/>
      <c r="M379" s="118"/>
      <c r="N379" s="118"/>
      <c r="O379" s="118"/>
      <c r="P379" s="118"/>
      <c r="Q379" s="160">
        <f t="shared" si="15"/>
        <v>0</v>
      </c>
    </row>
    <row r="380" spans="1:41" ht="15.75" customHeight="1">
      <c r="A380" s="115" t="s">
        <v>653</v>
      </c>
      <c r="B380" s="111">
        <f>('Pivot Table for Data Exchange'!$R$7)*100</f>
        <v>59.170721879552424</v>
      </c>
      <c r="C380" s="111">
        <f>('Pivot Table for Data Exchange'!$R$10)*100</f>
        <v>32.928586926200296</v>
      </c>
      <c r="D380" s="112">
        <f>SUM(E380:G380)</f>
        <v>7.9006911942472806</v>
      </c>
      <c r="E380" s="111">
        <f>('Pivot Table for Data Exchange'!$R$13)*100</f>
        <v>7.9006911942472806</v>
      </c>
      <c r="F380" s="111">
        <f>('Pivot Table for Data Exchange'!$R$16)*100</f>
        <v>0</v>
      </c>
      <c r="G380" s="113">
        <f>('Pivot Table for Data Exchange'!$R$19)*100</f>
        <v>0</v>
      </c>
      <c r="H380" s="111">
        <f>('Pivot Table for Data Exchange'!$R$22)*100</f>
        <v>0</v>
      </c>
      <c r="I380" s="118"/>
      <c r="J380" s="143"/>
      <c r="K380" s="143"/>
      <c r="L380" s="143"/>
      <c r="M380" s="143"/>
      <c r="N380" s="143"/>
      <c r="O380" s="143"/>
      <c r="P380" s="143"/>
      <c r="Q380" s="160">
        <f t="shared" si="15"/>
        <v>100</v>
      </c>
      <c r="R380" s="160"/>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row>
    <row r="381" spans="1:41" ht="15.75" customHeight="1">
      <c r="A381" s="118" t="s">
        <v>654</v>
      </c>
      <c r="B381" s="111">
        <f>('Pivot Table for Data Exchange'!$R$43)*100</f>
        <v>0</v>
      </c>
      <c r="C381" s="111">
        <f>('Pivot Table for Data Exchange'!$R$46)*100</f>
        <v>0</v>
      </c>
      <c r="D381" s="112">
        <f>SUM(E381:G381)</f>
        <v>0</v>
      </c>
      <c r="E381" s="111">
        <f>('Pivot Table for Data Exchange'!$R$49)*100</f>
        <v>0</v>
      </c>
      <c r="F381" s="111">
        <f>('Pivot Table for Data Exchange'!$R$52)*100</f>
        <v>0</v>
      </c>
      <c r="G381" s="119">
        <f>('Pivot Table for Data Exchange'!$R$55)*100</f>
        <v>0</v>
      </c>
      <c r="H381" s="111">
        <f>('Pivot Table for Data Exchange'!$R$58)*100</f>
        <v>0</v>
      </c>
      <c r="I381" s="118"/>
      <c r="J381" s="143"/>
      <c r="K381" s="143"/>
      <c r="L381" s="143"/>
      <c r="M381" s="143"/>
      <c r="N381" s="143"/>
      <c r="O381" s="143"/>
      <c r="P381" s="143"/>
      <c r="Q381" s="160">
        <f t="shared" si="15"/>
        <v>0</v>
      </c>
      <c r="R381" s="160"/>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row>
    <row r="382" spans="1:41" ht="15.75" customHeight="1">
      <c r="A382" s="118" t="s">
        <v>655</v>
      </c>
      <c r="B382" s="111">
        <f>('Pivot Table for Data Exchange'!$R$79)*100</f>
        <v>0</v>
      </c>
      <c r="C382" s="111">
        <f>('Pivot Table for Data Exchange'!$R$82)*100</f>
        <v>0</v>
      </c>
      <c r="D382" s="112">
        <f>SUM(E382:G382)</f>
        <v>0</v>
      </c>
      <c r="E382" s="111">
        <f>('Pivot Table for Data Exchange'!$R$85)*100</f>
        <v>0</v>
      </c>
      <c r="F382" s="111">
        <f>('Pivot Table for Data Exchange'!$R$88)*100</f>
        <v>0</v>
      </c>
      <c r="G382" s="119">
        <f>('Pivot Table for Data Exchange'!$R$91)*100</f>
        <v>0</v>
      </c>
      <c r="H382" s="111">
        <f>('Pivot Table for Data Exchange'!$R$94)*100</f>
        <v>0</v>
      </c>
      <c r="I382" s="118"/>
      <c r="J382" s="143"/>
      <c r="K382" s="143"/>
      <c r="L382" s="143"/>
      <c r="M382" s="143"/>
      <c r="N382" s="143"/>
      <c r="O382" s="143"/>
      <c r="P382" s="143"/>
      <c r="Q382" s="160">
        <f t="shared" si="15"/>
        <v>0</v>
      </c>
      <c r="R382" s="160"/>
      <c r="S382" s="161"/>
      <c r="T382" s="167"/>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row>
    <row r="383" spans="1:41" ht="15.75" customHeight="1">
      <c r="A383" s="118" t="s">
        <v>656</v>
      </c>
      <c r="B383" s="111">
        <f>('Pivot Table for Data Exchange'!$R$115)*100</f>
        <v>0</v>
      </c>
      <c r="C383" s="111">
        <f>('Pivot Table for Data Exchange'!$R$118)*100</f>
        <v>0</v>
      </c>
      <c r="D383" s="112">
        <f>SUM(E383:G383)</f>
        <v>0</v>
      </c>
      <c r="E383" s="111">
        <f>('Pivot Table for Data Exchange'!$R$121)*100</f>
        <v>0</v>
      </c>
      <c r="F383" s="111">
        <f>('Pivot Table for Data Exchange'!$R$124)*100</f>
        <v>0</v>
      </c>
      <c r="G383" s="119">
        <f>('Pivot Table for Data Exchange'!$R$127)*100</f>
        <v>0</v>
      </c>
      <c r="H383" s="111">
        <f>('Pivot Table for Data Exchange'!$R$130)*100</f>
        <v>0</v>
      </c>
      <c r="I383" s="118"/>
      <c r="J383" s="143"/>
      <c r="K383" s="143"/>
      <c r="L383" s="143"/>
      <c r="M383" s="143"/>
      <c r="N383" s="143"/>
      <c r="O383" s="143"/>
      <c r="P383" s="143"/>
      <c r="Q383" s="160">
        <f t="shared" si="15"/>
        <v>0</v>
      </c>
      <c r="R383" s="160"/>
      <c r="S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row>
    <row r="384" spans="1:41" ht="15.75" customHeight="1">
      <c r="A384" s="118"/>
      <c r="B384" s="111"/>
      <c r="C384" s="111"/>
      <c r="D384" s="112"/>
      <c r="E384" s="111"/>
      <c r="F384" s="111"/>
      <c r="G384" s="119"/>
      <c r="H384" s="111"/>
      <c r="I384" s="118"/>
      <c r="J384" s="143"/>
      <c r="K384" s="143"/>
      <c r="L384" s="143"/>
      <c r="M384" s="143"/>
      <c r="N384" s="143"/>
      <c r="O384" s="143"/>
      <c r="P384" s="143"/>
      <c r="Q384" s="160">
        <f t="shared" si="15"/>
        <v>0</v>
      </c>
      <c r="R384" s="160"/>
      <c r="S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row>
    <row r="385" spans="1:41" ht="15.75" customHeight="1">
      <c r="A385" s="118" t="s">
        <v>657</v>
      </c>
      <c r="B385" s="111">
        <f>('Pivot Table for Data Exchange'!$R$151)*100</f>
        <v>79.412985733511661</v>
      </c>
      <c r="C385" s="111">
        <f>('Pivot Table for Data Exchange'!$R$154)*100</f>
        <v>0</v>
      </c>
      <c r="D385" s="112">
        <f>SUM(E385:G385)</f>
        <v>20.587014266488328</v>
      </c>
      <c r="E385" s="111">
        <f>('Pivot Table for Data Exchange'!$R$157)*100</f>
        <v>20.388267299027426</v>
      </c>
      <c r="F385" s="111">
        <f>('Pivot Table for Data Exchange'!$R$160)*100</f>
        <v>0.19874696746090334</v>
      </c>
      <c r="G385" s="139">
        <f>('Pivot Table for Data Exchange'!$R$163)*100</f>
        <v>0</v>
      </c>
      <c r="H385" s="111">
        <f>('Pivot Table for Data Exchange'!$R$166)*100</f>
        <v>0</v>
      </c>
      <c r="I385" s="118"/>
      <c r="J385" s="143"/>
      <c r="K385" s="143"/>
      <c r="L385" s="143"/>
      <c r="M385" s="143"/>
      <c r="N385" s="143"/>
      <c r="O385" s="143"/>
      <c r="P385" s="143"/>
      <c r="Q385" s="160">
        <f t="shared" si="15"/>
        <v>99.999999999999986</v>
      </c>
      <c r="R385" s="160"/>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row>
    <row r="386" spans="1:41" ht="15.75" customHeight="1">
      <c r="A386" s="118" t="s">
        <v>658</v>
      </c>
      <c r="B386" s="111">
        <f>('Pivot Table for Data Exchange'!$R$187)*100</f>
        <v>91.870314760821032</v>
      </c>
      <c r="C386" s="111">
        <f>('Pivot Table for Data Exchange'!$R$190)*100</f>
        <v>0.58894956119622199</v>
      </c>
      <c r="D386" s="112">
        <f>SUM(E386:G386)</f>
        <v>7.540735677982739</v>
      </c>
      <c r="E386" s="111">
        <f>('Pivot Table for Data Exchange'!$R$193)*100</f>
        <v>7.540735677982739</v>
      </c>
      <c r="F386" s="111">
        <f>('Pivot Table for Data Exchange'!$R$196)*100</f>
        <v>0</v>
      </c>
      <c r="G386" s="119">
        <f>('Pivot Table for Data Exchange'!$R$199)*100</f>
        <v>0</v>
      </c>
      <c r="H386" s="111">
        <f>('Pivot Table for Data Exchange'!$R$202)*100</f>
        <v>0</v>
      </c>
      <c r="I386" s="118"/>
      <c r="J386" s="143"/>
      <c r="K386" s="143"/>
      <c r="L386" s="143"/>
      <c r="M386" s="143"/>
      <c r="N386" s="143"/>
      <c r="O386" s="143"/>
      <c r="P386" s="143"/>
      <c r="Q386" s="160">
        <f t="shared" si="15"/>
        <v>99.999999999999986</v>
      </c>
      <c r="R386" s="160"/>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row>
    <row r="387" spans="1:41" ht="15.75" customHeight="1">
      <c r="A387" s="118" t="s">
        <v>659</v>
      </c>
      <c r="B387" s="116">
        <f>('Pivot Table for Data Exchange'!$R$223)*100</f>
        <v>0</v>
      </c>
      <c r="C387" s="111">
        <f>('Pivot Table for Data Exchange'!$R$226)*100</f>
        <v>0</v>
      </c>
      <c r="D387" s="112">
        <f>SUM(E387:G387)</f>
        <v>0</v>
      </c>
      <c r="E387" s="111">
        <f>('Pivot Table for Data Exchange'!$R$229)*100</f>
        <v>0</v>
      </c>
      <c r="F387" s="111">
        <f>('Pivot Table for Data Exchange'!$R$232)*100</f>
        <v>0</v>
      </c>
      <c r="G387" s="119">
        <f>('Pivot Table for Data Exchange'!$R$235)*100</f>
        <v>0</v>
      </c>
      <c r="H387" s="111">
        <f>('Pivot Table for Data Exchange'!$R$238)*100</f>
        <v>0</v>
      </c>
      <c r="I387" s="148"/>
      <c r="J387" s="143"/>
      <c r="K387" s="143"/>
      <c r="L387" s="143"/>
      <c r="M387" s="143"/>
      <c r="N387" s="143"/>
      <c r="O387" s="143"/>
      <c r="P387" s="143"/>
      <c r="Q387" s="160">
        <f>SUM(I387,C387,D387,H387)</f>
        <v>0</v>
      </c>
      <c r="R387" s="160"/>
      <c r="S387" s="161"/>
      <c r="T387" s="167"/>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row>
    <row r="388" spans="1:41" ht="15.75" customHeight="1">
      <c r="A388" s="118" t="s">
        <v>700</v>
      </c>
      <c r="B388" s="111">
        <f>('Pivot Table for Data Exchange'!$R$259)*100</f>
        <v>0</v>
      </c>
      <c r="C388" s="111">
        <f>('Pivot Table for Data Exchange'!$R$262)*100</f>
        <v>0</v>
      </c>
      <c r="D388" s="112">
        <f>SUM(E388:G388)</f>
        <v>0</v>
      </c>
      <c r="E388" s="111">
        <f>('Pivot Table for Data Exchange'!$R$265)*100</f>
        <v>0</v>
      </c>
      <c r="F388" s="111">
        <f>('Pivot Table for Data Exchange'!$R$268)*100</f>
        <v>0</v>
      </c>
      <c r="G388" s="119">
        <f>('Pivot Table for Data Exchange'!$R$271)*100</f>
        <v>0</v>
      </c>
      <c r="H388" s="111">
        <f>('Pivot Table for Data Exchange'!$R$274)*100</f>
        <v>0</v>
      </c>
      <c r="I388" s="118"/>
      <c r="J388" s="143"/>
      <c r="K388" s="143"/>
      <c r="L388" s="143"/>
      <c r="M388" s="143"/>
      <c r="N388" s="143"/>
      <c r="O388" s="143"/>
      <c r="P388" s="143"/>
      <c r="Q388" s="160">
        <f t="shared" si="15"/>
        <v>0</v>
      </c>
      <c r="R388" s="160"/>
      <c r="S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row>
    <row r="389" spans="1:41" ht="15.75" customHeight="1">
      <c r="A389" s="118"/>
      <c r="B389" s="111"/>
      <c r="C389" s="111"/>
      <c r="D389" s="112"/>
      <c r="E389" s="111"/>
      <c r="F389" s="111"/>
      <c r="G389" s="119"/>
      <c r="H389" s="111"/>
      <c r="I389" s="118"/>
      <c r="J389" s="143"/>
      <c r="K389" s="143"/>
      <c r="L389" s="143"/>
      <c r="M389" s="143"/>
      <c r="N389" s="143"/>
      <c r="O389" s="143"/>
      <c r="P389" s="143"/>
      <c r="Q389" s="160">
        <f t="shared" si="15"/>
        <v>0</v>
      </c>
      <c r="R389" s="160"/>
      <c r="S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row>
    <row r="390" spans="1:41" ht="15.75" customHeight="1">
      <c r="A390" s="118" t="s">
        <v>661</v>
      </c>
      <c r="B390" s="111">
        <f>('Pivot Table for Data Exchange'!$R$295)*100</f>
        <v>0</v>
      </c>
      <c r="C390" s="111">
        <f>('Pivot Table for Data Exchange'!$R$298)*100</f>
        <v>0</v>
      </c>
      <c r="D390" s="112">
        <f>SUM(E390:G390)</f>
        <v>0</v>
      </c>
      <c r="E390" s="111">
        <f>('Pivot Table for Data Exchange'!$R$301)*100</f>
        <v>0</v>
      </c>
      <c r="F390" s="111">
        <f>('Pivot Table for Data Exchange'!$R$304)*100</f>
        <v>0</v>
      </c>
      <c r="G390" s="119">
        <f>('Pivot Table for Data Exchange'!$R$307)*100</f>
        <v>0</v>
      </c>
      <c r="H390" s="111">
        <f>('Pivot Table for Data Exchange'!$R$310)*100</f>
        <v>0</v>
      </c>
      <c r="I390" s="118"/>
      <c r="J390" s="143"/>
      <c r="K390" s="143"/>
      <c r="L390" s="143"/>
      <c r="M390" s="143"/>
      <c r="N390" s="143"/>
      <c r="O390" s="143"/>
      <c r="P390" s="143"/>
      <c r="Q390" s="160">
        <f t="shared" si="15"/>
        <v>0</v>
      </c>
      <c r="R390" s="160"/>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row>
    <row r="391" spans="1:41" ht="15.75" customHeight="1">
      <c r="A391" s="118" t="s">
        <v>662</v>
      </c>
      <c r="B391" s="111">
        <f>('Pivot Table for Data Exchange'!$R$331)*100</f>
        <v>0</v>
      </c>
      <c r="C391" s="111">
        <f>('Pivot Table for Data Exchange'!$R$334)*100</f>
        <v>0</v>
      </c>
      <c r="D391" s="112">
        <f>SUM(E391:G391)</f>
        <v>0</v>
      </c>
      <c r="E391" s="111">
        <f>('Pivot Table for Data Exchange'!$R$337)*100</f>
        <v>0</v>
      </c>
      <c r="F391" s="111">
        <f>('Pivot Table for Data Exchange'!$R$340)*100</f>
        <v>0</v>
      </c>
      <c r="G391" s="119">
        <f>('Pivot Table for Data Exchange'!$R$343)*100</f>
        <v>0</v>
      </c>
      <c r="H391" s="111">
        <f>('Pivot Table for Data Exchange'!$R$346)*100</f>
        <v>0</v>
      </c>
      <c r="I391" s="118"/>
      <c r="J391" s="143"/>
      <c r="K391" s="143"/>
      <c r="L391" s="143"/>
      <c r="M391" s="143"/>
      <c r="N391" s="143"/>
      <c r="O391" s="143"/>
      <c r="P391" s="143"/>
      <c r="Q391" s="160">
        <f t="shared" si="15"/>
        <v>0</v>
      </c>
      <c r="R391" s="160"/>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row>
    <row r="392" spans="1:41" ht="15.75" customHeight="1">
      <c r="A392" s="118" t="s">
        <v>663</v>
      </c>
      <c r="B392" s="111">
        <f>('Pivot Table for Data Exchange'!$R$367)*100</f>
        <v>0</v>
      </c>
      <c r="C392" s="111">
        <f>('Pivot Table for Data Exchange'!$R$370)*100</f>
        <v>0</v>
      </c>
      <c r="D392" s="112">
        <f>SUM(E392:G392)</f>
        <v>0</v>
      </c>
      <c r="E392" s="111">
        <f>('Pivot Table for Data Exchange'!$R$373)*100</f>
        <v>0</v>
      </c>
      <c r="F392" s="111">
        <f>('Pivot Table for Data Exchange'!$R$376)*100</f>
        <v>0</v>
      </c>
      <c r="G392" s="119">
        <f>('Pivot Table for Data Exchange'!$R$379)*100</f>
        <v>0</v>
      </c>
      <c r="H392" s="111">
        <f>('Pivot Table for Data Exchange'!$R$382)*100</f>
        <v>0</v>
      </c>
      <c r="I392" s="118"/>
      <c r="J392" s="143"/>
      <c r="K392" s="143"/>
      <c r="L392" s="143"/>
      <c r="M392" s="143"/>
      <c r="N392" s="143"/>
      <c r="O392" s="143"/>
      <c r="P392" s="143"/>
      <c r="Q392" s="160">
        <f t="shared" si="15"/>
        <v>0</v>
      </c>
      <c r="R392" s="160"/>
      <c r="S392" s="161"/>
      <c r="T392" s="167"/>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row>
    <row r="393" spans="1:41" ht="15.75" customHeight="1">
      <c r="A393" s="118" t="s">
        <v>664</v>
      </c>
      <c r="B393" s="111">
        <f>('Pivot Table for Data Exchange'!$R$403)*100</f>
        <v>0</v>
      </c>
      <c r="C393" s="111">
        <f>('Pivot Table for Data Exchange'!$R$406)*100</f>
        <v>0</v>
      </c>
      <c r="D393" s="112">
        <f>SUM(E393:G393)</f>
        <v>0</v>
      </c>
      <c r="E393" s="111">
        <f>('Pivot Table for Data Exchange'!$R$409)*100</f>
        <v>0</v>
      </c>
      <c r="F393" s="111">
        <f>('Pivot Table for Data Exchange'!$R$412)*100</f>
        <v>0</v>
      </c>
      <c r="G393" s="119">
        <f>('Pivot Table for Data Exchange'!$R$415)*100</f>
        <v>0</v>
      </c>
      <c r="H393" s="111">
        <f>('Pivot Table for Data Exchange'!$R$418)*100</f>
        <v>0</v>
      </c>
      <c r="I393" s="118"/>
      <c r="J393" s="143"/>
      <c r="K393" s="143"/>
      <c r="L393" s="143"/>
      <c r="M393" s="143"/>
      <c r="N393" s="143"/>
      <c r="O393" s="143"/>
      <c r="P393" s="143"/>
      <c r="Q393" s="160">
        <f t="shared" si="15"/>
        <v>0</v>
      </c>
      <c r="R393" s="160"/>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row>
    <row r="394" spans="1:41" ht="15.75" customHeight="1">
      <c r="A394" s="118"/>
      <c r="B394" s="111"/>
      <c r="C394" s="111"/>
      <c r="D394" s="112"/>
      <c r="E394" s="111"/>
      <c r="F394" s="111"/>
      <c r="G394" s="119"/>
      <c r="H394" s="111"/>
      <c r="I394" s="118"/>
      <c r="J394" s="143"/>
      <c r="K394" s="143"/>
      <c r="L394" s="143"/>
      <c r="M394" s="143"/>
      <c r="N394" s="143"/>
      <c r="O394" s="143"/>
      <c r="P394" s="143"/>
      <c r="Q394" s="160">
        <f t="shared" si="15"/>
        <v>0</v>
      </c>
      <c r="R394" s="160"/>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row>
    <row r="395" spans="1:41" ht="15.75" customHeight="1">
      <c r="A395" s="118" t="s">
        <v>665</v>
      </c>
      <c r="B395" s="111">
        <f>('Pivot Table for Data Exchange'!$R$439)*100</f>
        <v>0</v>
      </c>
      <c r="C395" s="111">
        <f>('Pivot Table for Data Exchange'!$R$442)*100</f>
        <v>0</v>
      </c>
      <c r="D395" s="112">
        <f>SUM(E395:G395)</f>
        <v>0</v>
      </c>
      <c r="E395" s="111">
        <f>('Pivot Table for Data Exchange'!$R$445)*100</f>
        <v>0</v>
      </c>
      <c r="F395" s="111">
        <f>('Pivot Table for Data Exchange'!$R$448)*100</f>
        <v>0</v>
      </c>
      <c r="G395" s="119">
        <f>('Pivot Table for Data Exchange'!$R$451)*100</f>
        <v>0</v>
      </c>
      <c r="H395" s="111">
        <f>('Pivot Table for Data Exchange'!$R$454)*100</f>
        <v>0</v>
      </c>
      <c r="I395" s="118"/>
      <c r="J395" s="143"/>
      <c r="K395" s="143"/>
      <c r="L395" s="143"/>
      <c r="M395" s="143"/>
      <c r="N395" s="143"/>
      <c r="O395" s="143"/>
      <c r="P395" s="143"/>
      <c r="Q395" s="160">
        <f t="shared" ref="Q395:Q457" si="16">SUM(B395,C395,D395,H395)</f>
        <v>0</v>
      </c>
      <c r="R395" s="160"/>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row>
    <row r="396" spans="1:41" ht="15.75" customHeight="1">
      <c r="A396" s="118" t="s">
        <v>666</v>
      </c>
      <c r="B396" s="111">
        <f>('Pivot Table for Data Exchange'!$R$475)*100</f>
        <v>0</v>
      </c>
      <c r="C396" s="111">
        <f>('Pivot Table for Data Exchange'!$R$478)*100</f>
        <v>0</v>
      </c>
      <c r="D396" s="112">
        <f>SUM(E396:G396)</f>
        <v>0</v>
      </c>
      <c r="E396" s="111">
        <f>('Pivot Table for Data Exchange'!$R$481)*100</f>
        <v>0</v>
      </c>
      <c r="F396" s="111">
        <f>('Pivot Table for Data Exchange'!$R$484)*100</f>
        <v>0</v>
      </c>
      <c r="G396" s="119">
        <f>('Pivot Table for Data Exchange'!$R$487)*100</f>
        <v>0</v>
      </c>
      <c r="H396" s="111">
        <f>('Pivot Table for Data Exchange'!$R$490)*100</f>
        <v>0</v>
      </c>
      <c r="I396" s="118"/>
      <c r="J396" s="143"/>
      <c r="K396" s="143"/>
      <c r="L396" s="143"/>
      <c r="M396" s="143"/>
      <c r="N396" s="143"/>
      <c r="O396" s="143"/>
      <c r="P396" s="143"/>
      <c r="Q396" s="160">
        <f t="shared" si="16"/>
        <v>0</v>
      </c>
      <c r="R396" s="160"/>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row>
    <row r="397" spans="1:41" ht="15.75" customHeight="1">
      <c r="A397" s="118" t="s">
        <v>667</v>
      </c>
      <c r="B397" s="111">
        <f>('Pivot Table for Data Exchange'!$R$511)*100</f>
        <v>0</v>
      </c>
      <c r="C397" s="111">
        <f>('Pivot Table for Data Exchange'!$R$514)*100</f>
        <v>0</v>
      </c>
      <c r="D397" s="112">
        <f>SUM(E397:G397)</f>
        <v>0</v>
      </c>
      <c r="E397" s="111">
        <f>('Pivot Table for Data Exchange'!$R$517)*100</f>
        <v>0</v>
      </c>
      <c r="F397" s="111">
        <f>('Pivot Table for Data Exchange'!$R$520)*100</f>
        <v>0</v>
      </c>
      <c r="G397" s="119">
        <f>('Pivot Table for Data Exchange'!$R$523)*100</f>
        <v>0</v>
      </c>
      <c r="H397" s="111">
        <f>('Pivot Table for Data Exchange'!$R$526)*100</f>
        <v>0</v>
      </c>
      <c r="I397" s="118"/>
      <c r="J397" s="143"/>
      <c r="K397" s="143"/>
      <c r="L397" s="143"/>
      <c r="M397" s="143"/>
      <c r="N397" s="143"/>
      <c r="O397" s="143"/>
      <c r="P397" s="143"/>
      <c r="Q397" s="160">
        <f t="shared" si="16"/>
        <v>0</v>
      </c>
      <c r="R397" s="160"/>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row>
    <row r="398" spans="1:41" ht="15.75" customHeight="1">
      <c r="A398" s="91" t="s">
        <v>668</v>
      </c>
      <c r="B398" s="122">
        <f>('Pivot Table for Data Exchange'!$R$547)*100</f>
        <v>0</v>
      </c>
      <c r="C398" s="122">
        <f>('Pivot Table for Data Exchange'!$R$550)*100</f>
        <v>0</v>
      </c>
      <c r="D398" s="123">
        <f>SUM(E398:G398)</f>
        <v>0</v>
      </c>
      <c r="E398" s="122">
        <f>('Pivot Table for Data Exchange'!$R$553)*100</f>
        <v>0</v>
      </c>
      <c r="F398" s="122">
        <f>('Pivot Table for Data Exchange'!$R$556)*100</f>
        <v>0</v>
      </c>
      <c r="G398" s="124">
        <f>('Pivot Table for Data Exchange'!$R$559)*100</f>
        <v>0</v>
      </c>
      <c r="H398" s="122">
        <f>('Pivot Table for Data Exchange'!$R$562)*100</f>
        <v>0</v>
      </c>
      <c r="I398" s="118"/>
      <c r="J398" s="143"/>
      <c r="K398" s="143"/>
      <c r="L398" s="143"/>
      <c r="M398" s="143"/>
      <c r="N398" s="143"/>
      <c r="O398" s="143"/>
      <c r="P398" s="143"/>
      <c r="Q398" s="160">
        <f t="shared" si="16"/>
        <v>0</v>
      </c>
      <c r="R398" s="160"/>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row>
    <row r="399" spans="1:41" s="166" customFormat="1" ht="18" customHeight="1">
      <c r="A399" s="58" t="s">
        <v>697</v>
      </c>
      <c r="B399" s="126"/>
      <c r="C399" s="126"/>
      <c r="D399" s="127"/>
      <c r="E399" s="126"/>
      <c r="F399" s="127"/>
      <c r="G399" s="127"/>
      <c r="H399" s="126"/>
      <c r="I399" s="58"/>
      <c r="J399" s="126"/>
      <c r="K399" s="126"/>
      <c r="L399" s="127"/>
      <c r="M399" s="126"/>
      <c r="N399" s="127"/>
      <c r="O399" s="127"/>
      <c r="P399" s="126"/>
      <c r="Q399" s="160">
        <f t="shared" si="16"/>
        <v>0</v>
      </c>
      <c r="R399" s="164"/>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row>
    <row r="400" spans="1:41" s="166" customFormat="1" ht="18" customHeight="1">
      <c r="A400" s="58"/>
      <c r="B400" s="126"/>
      <c r="C400" s="126"/>
      <c r="D400" s="127"/>
      <c r="E400" s="126"/>
      <c r="F400" s="127"/>
      <c r="G400" s="127"/>
      <c r="H400" s="126"/>
      <c r="I400" s="58"/>
      <c r="J400" s="126"/>
      <c r="K400" s="126"/>
      <c r="L400" s="127"/>
      <c r="M400" s="126"/>
      <c r="N400" s="127"/>
      <c r="O400" s="127"/>
      <c r="P400" s="126"/>
      <c r="Q400" s="160">
        <f t="shared" si="16"/>
        <v>0</v>
      </c>
      <c r="R400" s="164"/>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row>
    <row r="401" spans="1:41" s="163" customFormat="1" ht="15.75" customHeight="1">
      <c r="A401" s="118"/>
      <c r="B401" s="145"/>
      <c r="C401" s="145"/>
      <c r="D401" s="145"/>
      <c r="E401" s="145"/>
      <c r="F401" s="145"/>
      <c r="G401" s="145"/>
      <c r="H401" s="64" t="s">
        <v>1034</v>
      </c>
      <c r="I401" s="118"/>
      <c r="J401" s="143"/>
      <c r="K401" s="143"/>
      <c r="L401" s="143"/>
      <c r="M401" s="143"/>
      <c r="N401" s="143"/>
      <c r="O401" s="143"/>
      <c r="P401" s="143"/>
      <c r="Q401" s="160">
        <f t="shared" si="16"/>
        <v>0</v>
      </c>
      <c r="R401" s="160"/>
      <c r="S401" s="170"/>
      <c r="T401" s="170"/>
      <c r="U401" s="170"/>
      <c r="V401" s="170"/>
      <c r="W401" s="170"/>
      <c r="X401" s="170"/>
      <c r="Y401" s="170"/>
      <c r="Z401" s="170"/>
      <c r="AA401" s="170"/>
      <c r="AB401" s="170"/>
      <c r="AC401" s="170"/>
      <c r="AD401" s="170"/>
      <c r="AE401" s="170"/>
      <c r="AF401" s="170"/>
      <c r="AG401" s="170"/>
      <c r="AH401" s="170"/>
      <c r="AI401" s="170"/>
      <c r="AJ401" s="170"/>
      <c r="AK401" s="170"/>
      <c r="AL401" s="170"/>
      <c r="AM401" s="170"/>
      <c r="AN401" s="170"/>
      <c r="AO401" s="170"/>
    </row>
    <row r="402" spans="1:41" ht="18">
      <c r="A402" s="31" t="s">
        <v>1024</v>
      </c>
      <c r="B402" s="86"/>
      <c r="C402" s="86"/>
      <c r="D402" s="86"/>
      <c r="E402" s="86"/>
      <c r="F402" s="86"/>
      <c r="G402" s="86"/>
      <c r="H402" s="87"/>
      <c r="I402" s="141"/>
      <c r="J402" s="118"/>
      <c r="K402" s="118"/>
      <c r="L402" s="118"/>
      <c r="M402" s="118"/>
      <c r="N402" s="118"/>
      <c r="O402" s="118"/>
      <c r="P402" s="118"/>
      <c r="Q402" s="160">
        <f t="shared" si="16"/>
        <v>0</v>
      </c>
    </row>
    <row r="403" spans="1:41">
      <c r="A403" s="37"/>
      <c r="B403" s="38"/>
      <c r="C403" s="38"/>
      <c r="D403" s="38"/>
      <c r="E403" s="38"/>
      <c r="F403" s="38"/>
      <c r="G403" s="38"/>
      <c r="H403" s="88"/>
      <c r="I403" s="141"/>
      <c r="J403" s="118"/>
      <c r="K403" s="118"/>
      <c r="L403" s="118"/>
      <c r="M403" s="118"/>
      <c r="N403" s="118"/>
      <c r="O403" s="118"/>
      <c r="P403" s="118"/>
      <c r="Q403" s="160">
        <f t="shared" si="16"/>
        <v>0</v>
      </c>
    </row>
    <row r="404" spans="1:41" ht="15.75">
      <c r="A404" s="89" t="s">
        <v>683</v>
      </c>
      <c r="B404" s="38"/>
      <c r="C404" s="38"/>
      <c r="D404" s="38"/>
      <c r="E404" s="38"/>
      <c r="F404" s="38"/>
      <c r="G404" s="38"/>
      <c r="H404" s="88"/>
      <c r="I404" s="141"/>
      <c r="J404" s="118"/>
      <c r="K404" s="118"/>
      <c r="L404" s="118"/>
      <c r="M404" s="118"/>
      <c r="N404" s="118"/>
      <c r="O404" s="118"/>
      <c r="P404" s="118"/>
      <c r="Q404" s="160">
        <f t="shared" si="16"/>
        <v>0</v>
      </c>
    </row>
    <row r="405" spans="1:41" ht="15.75">
      <c r="A405" s="89" t="s">
        <v>975</v>
      </c>
      <c r="B405" s="38"/>
      <c r="C405" s="38"/>
      <c r="D405" s="38"/>
      <c r="E405" s="38"/>
      <c r="F405" s="38"/>
      <c r="G405" s="38"/>
      <c r="H405" s="88"/>
      <c r="I405" s="141"/>
      <c r="J405" s="118"/>
      <c r="K405" s="118"/>
      <c r="L405" s="118"/>
      <c r="M405" s="118"/>
      <c r="N405" s="118"/>
      <c r="O405" s="118"/>
      <c r="P405" s="118"/>
      <c r="Q405" s="160">
        <f t="shared" si="16"/>
        <v>0</v>
      </c>
    </row>
    <row r="406" spans="1:41">
      <c r="A406" s="91"/>
      <c r="B406" s="92"/>
      <c r="C406" s="92"/>
      <c r="D406" s="92"/>
      <c r="E406" s="92"/>
      <c r="F406" s="92"/>
      <c r="G406" s="92"/>
      <c r="H406" s="92"/>
      <c r="I406" s="141"/>
      <c r="J406" s="118"/>
      <c r="K406" s="118"/>
      <c r="L406" s="118"/>
      <c r="M406" s="118"/>
      <c r="N406" s="118"/>
      <c r="O406" s="118"/>
      <c r="P406" s="118"/>
      <c r="Q406" s="160">
        <f t="shared" si="16"/>
        <v>0</v>
      </c>
    </row>
    <row r="407" spans="1:41">
      <c r="A407" s="95"/>
      <c r="B407" s="96" t="s">
        <v>685</v>
      </c>
      <c r="C407" s="96"/>
      <c r="D407" s="96"/>
      <c r="E407" s="96"/>
      <c r="F407" s="96"/>
      <c r="G407" s="96"/>
      <c r="H407" s="97"/>
      <c r="I407" s="141"/>
      <c r="J407" s="118"/>
      <c r="K407" s="118"/>
      <c r="L407" s="118"/>
      <c r="M407" s="118"/>
      <c r="N407" s="118"/>
      <c r="O407" s="118"/>
      <c r="P407" s="118"/>
      <c r="Q407" s="160">
        <f t="shared" si="16"/>
        <v>0</v>
      </c>
    </row>
    <row r="408" spans="1:41">
      <c r="A408" s="95"/>
      <c r="B408" s="96" t="s">
        <v>686</v>
      </c>
      <c r="C408" s="96"/>
      <c r="D408" s="647" t="s">
        <v>687</v>
      </c>
      <c r="E408" s="648"/>
      <c r="F408" s="648"/>
      <c r="G408" s="648"/>
      <c r="H408" s="101" t="s">
        <v>59</v>
      </c>
      <c r="I408" s="141"/>
      <c r="J408" s="118"/>
      <c r="K408" s="118"/>
      <c r="L408" s="118"/>
      <c r="M408" s="118"/>
      <c r="N408" s="118"/>
      <c r="O408" s="118"/>
      <c r="P408" s="118"/>
      <c r="Q408" s="160">
        <f t="shared" si="16"/>
        <v>0</v>
      </c>
    </row>
    <row r="409" spans="1:41" ht="36">
      <c r="A409" s="95"/>
      <c r="B409" s="102" t="s">
        <v>688</v>
      </c>
      <c r="C409" s="103" t="s">
        <v>689</v>
      </c>
      <c r="D409" s="104" t="s">
        <v>690</v>
      </c>
      <c r="E409" s="105" t="s">
        <v>9</v>
      </c>
      <c r="F409" s="102" t="s">
        <v>691</v>
      </c>
      <c r="G409" s="106" t="s">
        <v>692</v>
      </c>
      <c r="H409" s="107" t="s">
        <v>693</v>
      </c>
      <c r="I409" s="141"/>
      <c r="J409" s="118"/>
      <c r="K409" s="118"/>
      <c r="L409" s="118"/>
      <c r="M409" s="118"/>
      <c r="N409" s="118"/>
      <c r="O409" s="118"/>
      <c r="P409" s="118"/>
      <c r="Q409" s="160">
        <f t="shared" si="16"/>
        <v>0</v>
      </c>
    </row>
    <row r="410" spans="1:41" ht="15.75" customHeight="1">
      <c r="A410" s="115" t="s">
        <v>653</v>
      </c>
      <c r="B410" s="111">
        <f>('Pivot Table for Data Exchange'!$P$7)*100</f>
        <v>40.227688718144698</v>
      </c>
      <c r="C410" s="111">
        <f>('Pivot Table for Data Exchange'!$P$10)*100</f>
        <v>52.249733491562246</v>
      </c>
      <c r="D410" s="112">
        <f>SUM(E410:G410)</f>
        <v>7.5225777902930586</v>
      </c>
      <c r="E410" s="111">
        <f>('Pivot Table for Data Exchange'!$P$13)*100</f>
        <v>7.5225777902930586</v>
      </c>
      <c r="F410" s="111">
        <f>('Pivot Table for Data Exchange'!$P$16)*100</f>
        <v>0</v>
      </c>
      <c r="G410" s="113">
        <f>('Pivot Table for Data Exchange'!$P$19)*100</f>
        <v>0</v>
      </c>
      <c r="H410" s="111">
        <f>('Pivot Table for Data Exchange'!$P$22)*100</f>
        <v>0</v>
      </c>
      <c r="I410" s="118"/>
      <c r="J410" s="143"/>
      <c r="K410" s="143"/>
      <c r="L410" s="143"/>
      <c r="M410" s="143"/>
      <c r="N410" s="143"/>
      <c r="O410" s="143"/>
      <c r="P410" s="143"/>
      <c r="Q410" s="160">
        <f t="shared" si="16"/>
        <v>100</v>
      </c>
      <c r="R410" s="160"/>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row>
    <row r="411" spans="1:41" ht="15.75" customHeight="1">
      <c r="A411" s="118" t="s">
        <v>654</v>
      </c>
      <c r="B411" s="111">
        <f>('Pivot Table for Data Exchange'!$P$43)*100</f>
        <v>0</v>
      </c>
      <c r="C411" s="111">
        <f>('Pivot Table for Data Exchange'!$P$46)*100</f>
        <v>0</v>
      </c>
      <c r="D411" s="112">
        <f>SUM(E411:G411)</f>
        <v>0</v>
      </c>
      <c r="E411" s="111">
        <f>('Pivot Table for Data Exchange'!$P$49)*100</f>
        <v>0</v>
      </c>
      <c r="F411" s="111">
        <f>('Pivot Table for Data Exchange'!$P$52)*100</f>
        <v>0</v>
      </c>
      <c r="G411" s="119">
        <f>('Pivot Table for Data Exchange'!$P$55)*100</f>
        <v>0</v>
      </c>
      <c r="H411" s="111">
        <f>('Pivot Table for Data Exchange'!$P$58)*100</f>
        <v>0</v>
      </c>
      <c r="I411" s="118"/>
      <c r="J411" s="143"/>
      <c r="K411" s="143"/>
      <c r="L411" s="143"/>
      <c r="M411" s="143"/>
      <c r="N411" s="143"/>
      <c r="O411" s="143"/>
      <c r="P411" s="143"/>
      <c r="Q411" s="160">
        <f t="shared" si="16"/>
        <v>0</v>
      </c>
      <c r="R411" s="160"/>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row>
    <row r="412" spans="1:41" ht="15.75" customHeight="1">
      <c r="A412" s="118" t="s">
        <v>655</v>
      </c>
      <c r="B412" s="111">
        <f>('Pivot Table for Data Exchange'!$P$79)*100</f>
        <v>0</v>
      </c>
      <c r="C412" s="111">
        <f>('Pivot Table for Data Exchange'!$P$82)*100</f>
        <v>0</v>
      </c>
      <c r="D412" s="112">
        <f>SUM(E412:G412)</f>
        <v>0</v>
      </c>
      <c r="E412" s="111">
        <f>('Pivot Table for Data Exchange'!$P$85)*100</f>
        <v>0</v>
      </c>
      <c r="F412" s="111">
        <f>('Pivot Table for Data Exchange'!$P$88)*100</f>
        <v>0</v>
      </c>
      <c r="G412" s="119">
        <f>('Pivot Table for Data Exchange'!$P$91)*100</f>
        <v>0</v>
      </c>
      <c r="H412" s="111">
        <f>('Pivot Table for Data Exchange'!$P$94)*100</f>
        <v>0</v>
      </c>
      <c r="I412" s="118"/>
      <c r="J412" s="143"/>
      <c r="K412" s="143"/>
      <c r="L412" s="143"/>
      <c r="M412" s="143"/>
      <c r="N412" s="143"/>
      <c r="O412" s="143"/>
      <c r="P412" s="143"/>
      <c r="Q412" s="160">
        <f t="shared" si="16"/>
        <v>0</v>
      </c>
      <c r="R412" s="160"/>
      <c r="S412" s="161"/>
      <c r="T412" s="167"/>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row>
    <row r="413" spans="1:41" ht="15.75" customHeight="1">
      <c r="A413" s="118" t="s">
        <v>656</v>
      </c>
      <c r="B413" s="111">
        <f>('Pivot Table for Data Exchange'!$P$115)*100</f>
        <v>0</v>
      </c>
      <c r="C413" s="111">
        <f>('Pivot Table for Data Exchange'!$P$118)*100</f>
        <v>0</v>
      </c>
      <c r="D413" s="112">
        <f>SUM(E413:G413)</f>
        <v>0</v>
      </c>
      <c r="E413" s="111">
        <f>('Pivot Table for Data Exchange'!$P$121)*100</f>
        <v>0</v>
      </c>
      <c r="F413" s="111">
        <f>('Pivot Table for Data Exchange'!$P$124)*100</f>
        <v>0</v>
      </c>
      <c r="G413" s="119">
        <f>('Pivot Table for Data Exchange'!$P$127)*100</f>
        <v>0</v>
      </c>
      <c r="H413" s="111">
        <f>('Pivot Table for Data Exchange'!$P$130)*100</f>
        <v>0</v>
      </c>
      <c r="I413" s="118"/>
      <c r="J413" s="143"/>
      <c r="K413" s="143"/>
      <c r="L413" s="143"/>
      <c r="M413" s="143"/>
      <c r="N413" s="143"/>
      <c r="O413" s="143"/>
      <c r="P413" s="143"/>
      <c r="Q413" s="160">
        <f t="shared" si="16"/>
        <v>0</v>
      </c>
      <c r="R413" s="160"/>
      <c r="S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row>
    <row r="414" spans="1:41" ht="15.75" customHeight="1">
      <c r="A414" s="118"/>
      <c r="B414" s="111"/>
      <c r="C414" s="111"/>
      <c r="D414" s="112"/>
      <c r="E414" s="111"/>
      <c r="F414" s="111"/>
      <c r="G414" s="119"/>
      <c r="H414" s="111"/>
      <c r="I414" s="118"/>
      <c r="J414" s="143"/>
      <c r="K414" s="143"/>
      <c r="L414" s="143"/>
      <c r="M414" s="143"/>
      <c r="N414" s="143"/>
      <c r="O414" s="143"/>
      <c r="P414" s="143"/>
      <c r="Q414" s="160">
        <f t="shared" si="16"/>
        <v>0</v>
      </c>
      <c r="R414" s="160"/>
      <c r="S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row>
    <row r="415" spans="1:41" ht="15.75" customHeight="1">
      <c r="A415" s="118" t="s">
        <v>657</v>
      </c>
      <c r="B415" s="111">
        <f>('Pivot Table for Data Exchange'!$P$151)*100</f>
        <v>79.379159441746012</v>
      </c>
      <c r="C415" s="111">
        <f>('Pivot Table for Data Exchange'!$P$154)*100</f>
        <v>0</v>
      </c>
      <c r="D415" s="112">
        <f>SUM(E415:G415)</f>
        <v>20.620840558253978</v>
      </c>
      <c r="E415" s="111">
        <f>('Pivot Table for Data Exchange'!$P$157)*100</f>
        <v>20.420491190549637</v>
      </c>
      <c r="F415" s="111">
        <f>('Pivot Table for Data Exchange'!$P$160)*100</f>
        <v>0.20034936770434209</v>
      </c>
      <c r="G415" s="139">
        <f>('Pivot Table for Data Exchange'!$P$163)*100</f>
        <v>0</v>
      </c>
      <c r="H415" s="111">
        <f>('Pivot Table for Data Exchange'!$P$166)*100</f>
        <v>0</v>
      </c>
      <c r="I415" s="118"/>
      <c r="J415" s="143"/>
      <c r="K415" s="143"/>
      <c r="L415" s="143"/>
      <c r="M415" s="143"/>
      <c r="N415" s="143"/>
      <c r="O415" s="143"/>
      <c r="P415" s="143"/>
      <c r="Q415" s="160">
        <f t="shared" si="16"/>
        <v>99.999999999999986</v>
      </c>
      <c r="R415" s="160"/>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row>
    <row r="416" spans="1:41" ht="15.75" customHeight="1">
      <c r="A416" s="118" t="s">
        <v>658</v>
      </c>
      <c r="B416" s="111">
        <f>('Pivot Table for Data Exchange'!$P$187)*100</f>
        <v>91.870314760821032</v>
      </c>
      <c r="C416" s="111">
        <f>('Pivot Table for Data Exchange'!$P$190)*100</f>
        <v>0.58894956119622199</v>
      </c>
      <c r="D416" s="112">
        <f>SUM(E416:G416)</f>
        <v>7.540735677982739</v>
      </c>
      <c r="E416" s="111">
        <f>('Pivot Table for Data Exchange'!$P$193)*100</f>
        <v>7.540735677982739</v>
      </c>
      <c r="F416" s="111">
        <f>('Pivot Table for Data Exchange'!$P$196)*100</f>
        <v>0</v>
      </c>
      <c r="G416" s="119">
        <f>('Pivot Table for Data Exchange'!$P$199)*100</f>
        <v>0</v>
      </c>
      <c r="H416" s="111">
        <f>('Pivot Table for Data Exchange'!$P$202)*100</f>
        <v>0</v>
      </c>
      <c r="I416" s="118"/>
      <c r="J416" s="143"/>
      <c r="K416" s="143"/>
      <c r="L416" s="143"/>
      <c r="M416" s="143"/>
      <c r="N416" s="143"/>
      <c r="O416" s="143"/>
      <c r="P416" s="143"/>
      <c r="Q416" s="160">
        <f t="shared" si="16"/>
        <v>99.999999999999986</v>
      </c>
      <c r="R416" s="160"/>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row>
    <row r="417" spans="1:41" ht="15.75" customHeight="1">
      <c r="A417" s="118" t="s">
        <v>659</v>
      </c>
      <c r="B417" s="116">
        <f>('Pivot Table for Data Exchange'!$P$223)*100</f>
        <v>0</v>
      </c>
      <c r="C417" s="111">
        <f>('Pivot Table for Data Exchange'!$P$226)*100</f>
        <v>0</v>
      </c>
      <c r="D417" s="112">
        <f>SUM(E417:G417)</f>
        <v>0</v>
      </c>
      <c r="E417" s="111">
        <f>('Pivot Table for Data Exchange'!$P$229)*100</f>
        <v>0</v>
      </c>
      <c r="F417" s="111">
        <f>('Pivot Table for Data Exchange'!$P$232)*100</f>
        <v>0</v>
      </c>
      <c r="G417" s="119">
        <f>('Pivot Table for Data Exchange'!$P$235)*100</f>
        <v>0</v>
      </c>
      <c r="H417" s="111">
        <f>('Pivot Table for Data Exchange'!$P$238)*100</f>
        <v>0</v>
      </c>
      <c r="I417" s="148"/>
      <c r="J417" s="143"/>
      <c r="K417" s="143"/>
      <c r="L417" s="143"/>
      <c r="M417" s="143"/>
      <c r="N417" s="143"/>
      <c r="O417" s="143"/>
      <c r="P417" s="143"/>
      <c r="Q417" s="160">
        <f>SUM(I417,C417,D417,H417)</f>
        <v>0</v>
      </c>
      <c r="R417" s="160"/>
      <c r="S417" s="161"/>
      <c r="T417" s="167"/>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row>
    <row r="418" spans="1:41" ht="15.75" customHeight="1">
      <c r="A418" s="118" t="s">
        <v>700</v>
      </c>
      <c r="B418" s="111">
        <f>('Pivot Table for Data Exchange'!$P$259)*100</f>
        <v>0</v>
      </c>
      <c r="C418" s="111">
        <f>('Pivot Table for Data Exchange'!$P$262)*100</f>
        <v>0</v>
      </c>
      <c r="D418" s="112">
        <f>SUM(E418:G418)</f>
        <v>0</v>
      </c>
      <c r="E418" s="111">
        <f>('Pivot Table for Data Exchange'!$P$265)*100</f>
        <v>0</v>
      </c>
      <c r="F418" s="111">
        <f>('Pivot Table for Data Exchange'!$P$268)*100</f>
        <v>0</v>
      </c>
      <c r="G418" s="119">
        <f>('Pivot Table for Data Exchange'!$P$271)*100</f>
        <v>0</v>
      </c>
      <c r="H418" s="111">
        <f>('Pivot Table for Data Exchange'!$P$274)*100</f>
        <v>0</v>
      </c>
      <c r="I418" s="118"/>
      <c r="J418" s="143"/>
      <c r="K418" s="143"/>
      <c r="L418" s="143"/>
      <c r="M418" s="143"/>
      <c r="N418" s="143"/>
      <c r="O418" s="143"/>
      <c r="P418" s="143"/>
      <c r="Q418" s="160">
        <f t="shared" si="16"/>
        <v>0</v>
      </c>
      <c r="R418" s="160"/>
      <c r="S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row>
    <row r="419" spans="1:41" ht="15.75" customHeight="1">
      <c r="A419" s="118"/>
      <c r="B419" s="111"/>
      <c r="C419" s="111"/>
      <c r="D419" s="112"/>
      <c r="E419" s="111"/>
      <c r="F419" s="111"/>
      <c r="G419" s="119"/>
      <c r="H419" s="111"/>
      <c r="I419" s="118"/>
      <c r="J419" s="143"/>
      <c r="K419" s="143"/>
      <c r="L419" s="143"/>
      <c r="M419" s="143"/>
      <c r="N419" s="143"/>
      <c r="O419" s="143"/>
      <c r="P419" s="143"/>
      <c r="Q419" s="160">
        <f t="shared" si="16"/>
        <v>0</v>
      </c>
      <c r="R419" s="160"/>
      <c r="S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row>
    <row r="420" spans="1:41" ht="15.75" customHeight="1">
      <c r="A420" s="118" t="s">
        <v>661</v>
      </c>
      <c r="B420" s="111">
        <f>('Pivot Table for Data Exchange'!$P$295)*100</f>
        <v>0</v>
      </c>
      <c r="C420" s="111">
        <f>('Pivot Table for Data Exchange'!$P$298)*100</f>
        <v>0</v>
      </c>
      <c r="D420" s="112">
        <f>SUM(E420:G420)</f>
        <v>0</v>
      </c>
      <c r="E420" s="111">
        <f>('Pivot Table for Data Exchange'!$P$301)*100</f>
        <v>0</v>
      </c>
      <c r="F420" s="111">
        <f>('Pivot Table for Data Exchange'!$P$304)*100</f>
        <v>0</v>
      </c>
      <c r="G420" s="119">
        <f>('Pivot Table for Data Exchange'!$P$307)*100</f>
        <v>0</v>
      </c>
      <c r="H420" s="111">
        <f>('Pivot Table for Data Exchange'!$P$310)*100</f>
        <v>0</v>
      </c>
      <c r="I420" s="118"/>
      <c r="J420" s="143"/>
      <c r="K420" s="143"/>
      <c r="L420" s="143"/>
      <c r="M420" s="143"/>
      <c r="N420" s="143"/>
      <c r="O420" s="143"/>
      <c r="P420" s="143"/>
      <c r="Q420" s="160">
        <f t="shared" si="16"/>
        <v>0</v>
      </c>
      <c r="R420" s="160"/>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row>
    <row r="421" spans="1:41" ht="15.75" customHeight="1">
      <c r="A421" s="118" t="s">
        <v>662</v>
      </c>
      <c r="B421" s="111">
        <f>('Pivot Table for Data Exchange'!$P$331)*100</f>
        <v>0</v>
      </c>
      <c r="C421" s="111">
        <f>('Pivot Table for Data Exchange'!$P$334)*100</f>
        <v>0</v>
      </c>
      <c r="D421" s="112">
        <f>SUM(E421:G421)</f>
        <v>0</v>
      </c>
      <c r="E421" s="111">
        <f>('Pivot Table for Data Exchange'!$P$337)*100</f>
        <v>0</v>
      </c>
      <c r="F421" s="111">
        <f>('Pivot Table for Data Exchange'!$P$340)*100</f>
        <v>0</v>
      </c>
      <c r="G421" s="119">
        <f>('Pivot Table for Data Exchange'!$P$343)*100</f>
        <v>0</v>
      </c>
      <c r="H421" s="111">
        <f>('Pivot Table for Data Exchange'!$P$346)*100</f>
        <v>0</v>
      </c>
      <c r="I421" s="118"/>
      <c r="J421" s="143"/>
      <c r="K421" s="143"/>
      <c r="L421" s="143"/>
      <c r="M421" s="143"/>
      <c r="N421" s="143"/>
      <c r="O421" s="143"/>
      <c r="P421" s="143"/>
      <c r="Q421" s="160">
        <f t="shared" si="16"/>
        <v>0</v>
      </c>
      <c r="R421" s="160"/>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row>
    <row r="422" spans="1:41" ht="15.75" customHeight="1">
      <c r="A422" s="118" t="s">
        <v>663</v>
      </c>
      <c r="B422" s="111">
        <f>('Pivot Table for Data Exchange'!$P$367)*100</f>
        <v>0</v>
      </c>
      <c r="C422" s="111">
        <f>('Pivot Table for Data Exchange'!$P$370)*100</f>
        <v>0</v>
      </c>
      <c r="D422" s="112">
        <f>SUM(E422:G422)</f>
        <v>0</v>
      </c>
      <c r="E422" s="111">
        <f>('Pivot Table for Data Exchange'!$P$373)*100</f>
        <v>0</v>
      </c>
      <c r="F422" s="111">
        <f>('Pivot Table for Data Exchange'!$P$376)*100</f>
        <v>0</v>
      </c>
      <c r="G422" s="119">
        <f>('Pivot Table for Data Exchange'!$P$379)*100</f>
        <v>0</v>
      </c>
      <c r="H422" s="111">
        <f>('Pivot Table for Data Exchange'!$P$382)*100</f>
        <v>0</v>
      </c>
      <c r="I422" s="118"/>
      <c r="J422" s="143"/>
      <c r="K422" s="143"/>
      <c r="L422" s="143"/>
      <c r="M422" s="143"/>
      <c r="N422" s="143"/>
      <c r="O422" s="143"/>
      <c r="P422" s="143"/>
      <c r="Q422" s="160">
        <f t="shared" si="16"/>
        <v>0</v>
      </c>
      <c r="R422" s="160"/>
      <c r="S422" s="161"/>
      <c r="T422" s="167"/>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row>
    <row r="423" spans="1:41" ht="15.75" customHeight="1">
      <c r="A423" s="118" t="s">
        <v>664</v>
      </c>
      <c r="B423" s="111">
        <f>('Pivot Table for Data Exchange'!$P$403)*100</f>
        <v>0</v>
      </c>
      <c r="C423" s="111">
        <f>('Pivot Table for Data Exchange'!$P$406)*100</f>
        <v>0</v>
      </c>
      <c r="D423" s="112">
        <f>SUM(E423:G423)</f>
        <v>0</v>
      </c>
      <c r="E423" s="111">
        <f>('Pivot Table for Data Exchange'!$P$409)*100</f>
        <v>0</v>
      </c>
      <c r="F423" s="111">
        <f>('Pivot Table for Data Exchange'!$P$412)*100</f>
        <v>0</v>
      </c>
      <c r="G423" s="119">
        <f>('Pivot Table for Data Exchange'!$P$415)*100</f>
        <v>0</v>
      </c>
      <c r="H423" s="111">
        <f>('Pivot Table for Data Exchange'!$P$418)*100</f>
        <v>0</v>
      </c>
      <c r="I423" s="118"/>
      <c r="J423" s="143"/>
      <c r="K423" s="143"/>
      <c r="L423" s="143"/>
      <c r="M423" s="143"/>
      <c r="N423" s="143"/>
      <c r="O423" s="143"/>
      <c r="P423" s="143"/>
      <c r="Q423" s="160">
        <f t="shared" si="16"/>
        <v>0</v>
      </c>
      <c r="R423" s="160"/>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row>
    <row r="424" spans="1:41" ht="15.75" customHeight="1">
      <c r="A424" s="118"/>
      <c r="B424" s="111"/>
      <c r="C424" s="111"/>
      <c r="D424" s="112"/>
      <c r="E424" s="111"/>
      <c r="F424" s="111"/>
      <c r="G424" s="119"/>
      <c r="H424" s="111"/>
      <c r="I424" s="118"/>
      <c r="J424" s="143"/>
      <c r="K424" s="143"/>
      <c r="L424" s="143"/>
      <c r="M424" s="143"/>
      <c r="N424" s="143"/>
      <c r="O424" s="143"/>
      <c r="P424" s="143"/>
      <c r="Q424" s="160">
        <f t="shared" si="16"/>
        <v>0</v>
      </c>
      <c r="R424" s="160"/>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row>
    <row r="425" spans="1:41" ht="15.75" customHeight="1">
      <c r="A425" s="118" t="s">
        <v>665</v>
      </c>
      <c r="B425" s="111">
        <f>('Pivot Table for Data Exchange'!$P$439)*100</f>
        <v>0</v>
      </c>
      <c r="C425" s="111">
        <f>('Pivot Table for Data Exchange'!$P$442)*100</f>
        <v>0</v>
      </c>
      <c r="D425" s="112">
        <f>SUM(E425:G425)</f>
        <v>0</v>
      </c>
      <c r="E425" s="111">
        <f>('Pivot Table for Data Exchange'!$P$445)*100</f>
        <v>0</v>
      </c>
      <c r="F425" s="111">
        <f>('Pivot Table for Data Exchange'!$P$448)*100</f>
        <v>0</v>
      </c>
      <c r="G425" s="119">
        <f>('Pivot Table for Data Exchange'!$P$451)*100</f>
        <v>0</v>
      </c>
      <c r="H425" s="111">
        <f>('Pivot Table for Data Exchange'!$P$454)*100</f>
        <v>0</v>
      </c>
      <c r="I425" s="118"/>
      <c r="J425" s="143"/>
      <c r="K425" s="143"/>
      <c r="L425" s="143"/>
      <c r="M425" s="143"/>
      <c r="N425" s="143"/>
      <c r="O425" s="143"/>
      <c r="P425" s="143"/>
      <c r="Q425" s="160">
        <f t="shared" si="16"/>
        <v>0</v>
      </c>
      <c r="R425" s="160"/>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row>
    <row r="426" spans="1:41" ht="15.75" customHeight="1">
      <c r="A426" s="118" t="s">
        <v>666</v>
      </c>
      <c r="B426" s="111">
        <f>('Pivot Table for Data Exchange'!$P$475)*100</f>
        <v>0</v>
      </c>
      <c r="C426" s="111">
        <f>('Pivot Table for Data Exchange'!$P$478)*100</f>
        <v>0</v>
      </c>
      <c r="D426" s="112">
        <f>SUM(E426:G426)</f>
        <v>0</v>
      </c>
      <c r="E426" s="111">
        <f>('Pivot Table for Data Exchange'!$P$481)*100</f>
        <v>0</v>
      </c>
      <c r="F426" s="111">
        <f>('Pivot Table for Data Exchange'!$P$484)*100</f>
        <v>0</v>
      </c>
      <c r="G426" s="119">
        <f>('Pivot Table for Data Exchange'!$P$487)*100</f>
        <v>0</v>
      </c>
      <c r="H426" s="111">
        <f>('Pivot Table for Data Exchange'!$P$490)*100</f>
        <v>0</v>
      </c>
      <c r="I426" s="118"/>
      <c r="J426" s="143"/>
      <c r="K426" s="143"/>
      <c r="L426" s="143"/>
      <c r="M426" s="143"/>
      <c r="N426" s="143"/>
      <c r="O426" s="143"/>
      <c r="P426" s="143"/>
      <c r="Q426" s="160">
        <f t="shared" si="16"/>
        <v>0</v>
      </c>
      <c r="R426" s="160"/>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row>
    <row r="427" spans="1:41" ht="15.75" customHeight="1">
      <c r="A427" s="118" t="s">
        <v>667</v>
      </c>
      <c r="B427" s="111">
        <f>('Pivot Table for Data Exchange'!$P$511)*100</f>
        <v>0</v>
      </c>
      <c r="C427" s="111">
        <f>('Pivot Table for Data Exchange'!$P$514)*100</f>
        <v>0</v>
      </c>
      <c r="D427" s="112">
        <f>SUM(E427:G427)</f>
        <v>0</v>
      </c>
      <c r="E427" s="111">
        <f>('Pivot Table for Data Exchange'!$P$517)*100</f>
        <v>0</v>
      </c>
      <c r="F427" s="111">
        <f>('Pivot Table for Data Exchange'!$P$520)*100</f>
        <v>0</v>
      </c>
      <c r="G427" s="119">
        <f>('Pivot Table for Data Exchange'!$P$523)*100</f>
        <v>0</v>
      </c>
      <c r="H427" s="111">
        <f>('Pivot Table for Data Exchange'!$P$526)*100</f>
        <v>0</v>
      </c>
      <c r="I427" s="118"/>
      <c r="J427" s="143"/>
      <c r="K427" s="143"/>
      <c r="L427" s="143"/>
      <c r="M427" s="143"/>
      <c r="N427" s="143"/>
      <c r="O427" s="143"/>
      <c r="P427" s="143"/>
      <c r="Q427" s="160">
        <f t="shared" si="16"/>
        <v>0</v>
      </c>
      <c r="R427" s="160"/>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row>
    <row r="428" spans="1:41" ht="15.75" customHeight="1">
      <c r="A428" s="91" t="s">
        <v>668</v>
      </c>
      <c r="B428" s="122">
        <f>('Pivot Table for Data Exchange'!$P$547)*100</f>
        <v>0</v>
      </c>
      <c r="C428" s="122">
        <f>('Pivot Table for Data Exchange'!$P$550)*100</f>
        <v>0</v>
      </c>
      <c r="D428" s="123">
        <f>SUM(E428:G428)</f>
        <v>0</v>
      </c>
      <c r="E428" s="122">
        <f>('Pivot Table for Data Exchange'!$P$553)*100</f>
        <v>0</v>
      </c>
      <c r="F428" s="122">
        <f>('Pivot Table for Data Exchange'!$P$556)*100</f>
        <v>0</v>
      </c>
      <c r="G428" s="124">
        <f>('Pivot Table for Data Exchange'!$P$559)*100</f>
        <v>0</v>
      </c>
      <c r="H428" s="122">
        <f>('Pivot Table for Data Exchange'!$P$562)*100</f>
        <v>0</v>
      </c>
      <c r="I428" s="118"/>
      <c r="J428" s="143"/>
      <c r="K428" s="143"/>
      <c r="L428" s="143"/>
      <c r="M428" s="143"/>
      <c r="N428" s="143"/>
      <c r="O428" s="143"/>
      <c r="P428" s="143"/>
      <c r="Q428" s="160">
        <f t="shared" si="16"/>
        <v>0</v>
      </c>
      <c r="R428" s="160"/>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row>
    <row r="429" spans="1:41" s="166" customFormat="1" ht="18" customHeight="1">
      <c r="A429" s="58" t="s">
        <v>697</v>
      </c>
      <c r="B429" s="126"/>
      <c r="C429" s="126"/>
      <c r="D429" s="127"/>
      <c r="E429" s="126"/>
      <c r="F429" s="127"/>
      <c r="G429" s="127"/>
      <c r="H429" s="126"/>
      <c r="I429" s="58"/>
      <c r="J429" s="126"/>
      <c r="K429" s="126"/>
      <c r="L429" s="127"/>
      <c r="M429" s="126"/>
      <c r="N429" s="127"/>
      <c r="O429" s="127"/>
      <c r="P429" s="126"/>
      <c r="Q429" s="160">
        <f t="shared" si="16"/>
        <v>0</v>
      </c>
      <c r="R429" s="164"/>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row>
    <row r="430" spans="1:41" s="166" customFormat="1" ht="13.5" customHeight="1">
      <c r="A430" s="58"/>
      <c r="B430" s="135"/>
      <c r="C430" s="60"/>
      <c r="D430" s="60"/>
      <c r="E430" s="60"/>
      <c r="F430" s="60"/>
      <c r="G430" s="60"/>
      <c r="H430" s="60"/>
      <c r="I430" s="58"/>
      <c r="J430" s="60"/>
      <c r="K430" s="60"/>
      <c r="L430" s="60"/>
      <c r="M430" s="60"/>
      <c r="N430" s="60"/>
      <c r="O430" s="60"/>
      <c r="P430" s="136"/>
      <c r="Q430" s="160">
        <f t="shared" si="16"/>
        <v>0</v>
      </c>
      <c r="R430" s="169"/>
    </row>
    <row r="431" spans="1:41" s="166" customFormat="1" ht="13.5" customHeight="1">
      <c r="A431" s="134"/>
      <c r="B431" s="60"/>
      <c r="C431" s="60"/>
      <c r="D431" s="60"/>
      <c r="E431" s="60"/>
      <c r="F431" s="60"/>
      <c r="G431" s="60"/>
      <c r="H431" s="64" t="s">
        <v>1034</v>
      </c>
      <c r="I431" s="134"/>
      <c r="J431" s="60"/>
      <c r="K431" s="60"/>
      <c r="L431" s="60"/>
      <c r="M431" s="60"/>
      <c r="N431" s="60"/>
      <c r="O431" s="60"/>
      <c r="P431" s="60"/>
      <c r="Q431" s="160">
        <f t="shared" si="16"/>
        <v>0</v>
      </c>
      <c r="R431" s="169"/>
    </row>
    <row r="432" spans="1:41" ht="18">
      <c r="A432" s="31" t="s">
        <v>1025</v>
      </c>
      <c r="B432" s="86"/>
      <c r="C432" s="86"/>
      <c r="D432" s="86"/>
      <c r="E432" s="86"/>
      <c r="F432" s="86"/>
      <c r="G432" s="86"/>
      <c r="H432" s="87"/>
      <c r="I432" s="141"/>
      <c r="J432" s="118"/>
      <c r="K432" s="118"/>
      <c r="L432" s="118"/>
      <c r="M432" s="118"/>
      <c r="N432" s="118"/>
      <c r="O432" s="118"/>
      <c r="P432" s="118"/>
      <c r="Q432" s="160">
        <f t="shared" si="16"/>
        <v>0</v>
      </c>
    </row>
    <row r="433" spans="1:41">
      <c r="A433" s="37"/>
      <c r="B433" s="38"/>
      <c r="C433" s="38"/>
      <c r="D433" s="38"/>
      <c r="E433" s="38"/>
      <c r="F433" s="38"/>
      <c r="G433" s="38"/>
      <c r="H433" s="88"/>
      <c r="I433" s="141"/>
      <c r="J433" s="118"/>
      <c r="K433" s="118"/>
      <c r="L433" s="118"/>
      <c r="M433" s="118"/>
      <c r="N433" s="118"/>
      <c r="O433" s="118"/>
      <c r="P433" s="118"/>
      <c r="Q433" s="160">
        <f t="shared" si="16"/>
        <v>0</v>
      </c>
    </row>
    <row r="434" spans="1:41" ht="15.75">
      <c r="A434" s="89" t="s">
        <v>683</v>
      </c>
      <c r="B434" s="38"/>
      <c r="C434" s="38"/>
      <c r="D434" s="38"/>
      <c r="E434" s="38"/>
      <c r="F434" s="38"/>
      <c r="G434" s="38"/>
      <c r="H434" s="88"/>
      <c r="I434" s="141"/>
      <c r="J434" s="118"/>
      <c r="K434" s="118"/>
      <c r="L434" s="118"/>
      <c r="M434" s="118"/>
      <c r="N434" s="118"/>
      <c r="O434" s="118"/>
      <c r="P434" s="118"/>
      <c r="Q434" s="160">
        <f t="shared" si="16"/>
        <v>0</v>
      </c>
    </row>
    <row r="435" spans="1:41" ht="15.75">
      <c r="A435" s="89" t="s">
        <v>974</v>
      </c>
      <c r="B435" s="38"/>
      <c r="C435" s="38"/>
      <c r="D435" s="38"/>
      <c r="E435" s="38"/>
      <c r="F435" s="38"/>
      <c r="G435" s="38"/>
      <c r="H435" s="88"/>
      <c r="I435" s="141"/>
      <c r="J435" s="118"/>
      <c r="K435" s="118"/>
      <c r="L435" s="118"/>
      <c r="M435" s="118"/>
      <c r="N435" s="118"/>
      <c r="O435" s="118"/>
      <c r="P435" s="118"/>
      <c r="Q435" s="160">
        <f t="shared" si="16"/>
        <v>0</v>
      </c>
    </row>
    <row r="436" spans="1:41">
      <c r="A436" s="91"/>
      <c r="B436" s="92"/>
      <c r="C436" s="92"/>
      <c r="D436" s="92"/>
      <c r="E436" s="92"/>
      <c r="F436" s="92"/>
      <c r="G436" s="92"/>
      <c r="H436" s="92"/>
      <c r="I436" s="141"/>
      <c r="J436" s="118"/>
      <c r="K436" s="118"/>
      <c r="L436" s="118"/>
      <c r="M436" s="118"/>
      <c r="N436" s="118"/>
      <c r="O436" s="118"/>
      <c r="P436" s="118"/>
      <c r="Q436" s="160">
        <f t="shared" si="16"/>
        <v>0</v>
      </c>
    </row>
    <row r="437" spans="1:41">
      <c r="A437" s="95"/>
      <c r="B437" s="96" t="s">
        <v>685</v>
      </c>
      <c r="C437" s="96"/>
      <c r="D437" s="96"/>
      <c r="E437" s="96"/>
      <c r="F437" s="96"/>
      <c r="G437" s="96"/>
      <c r="H437" s="97"/>
      <c r="I437" s="141"/>
      <c r="J437" s="118"/>
      <c r="K437" s="118"/>
      <c r="L437" s="118"/>
      <c r="M437" s="118"/>
      <c r="N437" s="118"/>
      <c r="O437" s="118"/>
      <c r="P437" s="118"/>
      <c r="Q437" s="160">
        <f t="shared" si="16"/>
        <v>0</v>
      </c>
    </row>
    <row r="438" spans="1:41">
      <c r="A438" s="95"/>
      <c r="B438" s="96" t="s">
        <v>686</v>
      </c>
      <c r="C438" s="96"/>
      <c r="D438" s="647" t="s">
        <v>687</v>
      </c>
      <c r="E438" s="648"/>
      <c r="F438" s="648"/>
      <c r="G438" s="648"/>
      <c r="H438" s="101" t="s">
        <v>59</v>
      </c>
      <c r="I438" s="141"/>
      <c r="J438" s="118"/>
      <c r="K438" s="118"/>
      <c r="L438" s="118"/>
      <c r="M438" s="118"/>
      <c r="N438" s="118"/>
      <c r="O438" s="118"/>
      <c r="P438" s="118"/>
      <c r="Q438" s="160">
        <f t="shared" si="16"/>
        <v>0</v>
      </c>
    </row>
    <row r="439" spans="1:41" ht="36">
      <c r="A439" s="95"/>
      <c r="B439" s="102" t="s">
        <v>688</v>
      </c>
      <c r="C439" s="103" t="s">
        <v>689</v>
      </c>
      <c r="D439" s="104" t="s">
        <v>690</v>
      </c>
      <c r="E439" s="105" t="s">
        <v>9</v>
      </c>
      <c r="F439" s="102" t="s">
        <v>691</v>
      </c>
      <c r="G439" s="106" t="s">
        <v>692</v>
      </c>
      <c r="H439" s="107" t="s">
        <v>693</v>
      </c>
      <c r="I439" s="141"/>
      <c r="J439" s="118"/>
      <c r="K439" s="118"/>
      <c r="L439" s="118"/>
      <c r="M439" s="118"/>
      <c r="N439" s="118"/>
      <c r="O439" s="118"/>
      <c r="P439" s="118"/>
      <c r="Q439" s="160">
        <f t="shared" si="16"/>
        <v>0</v>
      </c>
    </row>
    <row r="440" spans="1:41" ht="15.75" customHeight="1">
      <c r="A440" s="115" t="s">
        <v>653</v>
      </c>
      <c r="B440" s="111">
        <f>('Pivot Table for Data Exchange'!$Q$7)*100</f>
        <v>71.041784836453019</v>
      </c>
      <c r="C440" s="111">
        <f>('Pivot Table for Data Exchange'!$Q$10)*100</f>
        <v>20.820570996407639</v>
      </c>
      <c r="D440" s="112">
        <f>SUM(E440:G440)</f>
        <v>8.1376441671393458</v>
      </c>
      <c r="E440" s="111">
        <f>('Pivot Table for Data Exchange'!$Q$13)*100</f>
        <v>8.1376441671393458</v>
      </c>
      <c r="F440" s="111">
        <f>('Pivot Table for Data Exchange'!$Q$16)*100</f>
        <v>0</v>
      </c>
      <c r="G440" s="113">
        <f>('Pivot Table for Data Exchange'!$Q$19)*100</f>
        <v>0</v>
      </c>
      <c r="H440" s="111">
        <f>('Pivot Table for Data Exchange'!$Q$22)*100</f>
        <v>0</v>
      </c>
      <c r="I440" s="118"/>
      <c r="J440" s="143"/>
      <c r="K440" s="143"/>
      <c r="L440" s="143"/>
      <c r="M440" s="143"/>
      <c r="N440" s="143"/>
      <c r="O440" s="143"/>
      <c r="P440" s="143"/>
      <c r="Q440" s="160">
        <f t="shared" si="16"/>
        <v>100</v>
      </c>
      <c r="R440" s="160"/>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row>
    <row r="441" spans="1:41" ht="15.75" customHeight="1">
      <c r="A441" s="118" t="s">
        <v>654</v>
      </c>
      <c r="B441" s="111">
        <f>('Pivot Table for Data Exchange'!$Q$43)*100</f>
        <v>0</v>
      </c>
      <c r="C441" s="111">
        <f>('Pivot Table for Data Exchange'!$Q$46)*100</f>
        <v>0</v>
      </c>
      <c r="D441" s="112">
        <f>SUM(E441:G441)</f>
        <v>0</v>
      </c>
      <c r="E441" s="111">
        <f>('Pivot Table for Data Exchange'!$Q$49)*100</f>
        <v>0</v>
      </c>
      <c r="F441" s="111">
        <f>('Pivot Table for Data Exchange'!$Q$52)*100</f>
        <v>0</v>
      </c>
      <c r="G441" s="119">
        <f>('Pivot Table for Data Exchange'!$Q$55)*100</f>
        <v>0</v>
      </c>
      <c r="H441" s="111">
        <f>('Pivot Table for Data Exchange'!$Q$58)*100</f>
        <v>0</v>
      </c>
      <c r="I441" s="118"/>
      <c r="J441" s="143"/>
      <c r="K441" s="143"/>
      <c r="L441" s="143"/>
      <c r="M441" s="143"/>
      <c r="N441" s="143"/>
      <c r="O441" s="143"/>
      <c r="P441" s="143"/>
      <c r="Q441" s="160">
        <f t="shared" si="16"/>
        <v>0</v>
      </c>
      <c r="R441" s="160"/>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row>
    <row r="442" spans="1:41" ht="15.75" customHeight="1">
      <c r="A442" s="118" t="s">
        <v>655</v>
      </c>
      <c r="B442" s="111">
        <f>('Pivot Table for Data Exchange'!$Q$79)*100</f>
        <v>0</v>
      </c>
      <c r="C442" s="111">
        <f>('Pivot Table for Data Exchange'!$Q$82)*100</f>
        <v>0</v>
      </c>
      <c r="D442" s="112">
        <f>SUM(E442:G442)</f>
        <v>0</v>
      </c>
      <c r="E442" s="111">
        <f>('Pivot Table for Data Exchange'!$Q$85)*100</f>
        <v>0</v>
      </c>
      <c r="F442" s="111">
        <f>('Pivot Table for Data Exchange'!$Q$88)*100</f>
        <v>0</v>
      </c>
      <c r="G442" s="119">
        <f>('Pivot Table for Data Exchange'!$Q$91)*100</f>
        <v>0</v>
      </c>
      <c r="H442" s="111">
        <f>('Pivot Table for Data Exchange'!$Q$94)*100</f>
        <v>0</v>
      </c>
      <c r="I442" s="118"/>
      <c r="J442" s="143"/>
      <c r="K442" s="143"/>
      <c r="L442" s="143"/>
      <c r="M442" s="143"/>
      <c r="N442" s="143"/>
      <c r="O442" s="143"/>
      <c r="P442" s="143"/>
      <c r="Q442" s="160">
        <f t="shared" si="16"/>
        <v>0</v>
      </c>
      <c r="R442" s="160"/>
      <c r="S442" s="161"/>
      <c r="T442" s="167"/>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row>
    <row r="443" spans="1:41" ht="15.75" customHeight="1">
      <c r="A443" s="118" t="s">
        <v>656</v>
      </c>
      <c r="B443" s="111">
        <f>('Pivot Table for Data Exchange'!$Q$115)*100</f>
        <v>0</v>
      </c>
      <c r="C443" s="111">
        <f>('Pivot Table for Data Exchange'!$Q$118)*100</f>
        <v>0</v>
      </c>
      <c r="D443" s="112">
        <f>SUM(E443:G443)</f>
        <v>0</v>
      </c>
      <c r="E443" s="111">
        <f>('Pivot Table for Data Exchange'!$Q$121)*100</f>
        <v>0</v>
      </c>
      <c r="F443" s="111">
        <f>('Pivot Table for Data Exchange'!$Q$124)*100</f>
        <v>0</v>
      </c>
      <c r="G443" s="119">
        <f>('Pivot Table for Data Exchange'!$Q$127)*100</f>
        <v>0</v>
      </c>
      <c r="H443" s="111">
        <f>('Pivot Table for Data Exchange'!$Q$130)*100</f>
        <v>0</v>
      </c>
      <c r="I443" s="118"/>
      <c r="J443" s="143"/>
      <c r="K443" s="143"/>
      <c r="L443" s="143"/>
      <c r="M443" s="143"/>
      <c r="N443" s="143"/>
      <c r="O443" s="143"/>
      <c r="P443" s="143"/>
      <c r="Q443" s="160">
        <f t="shared" si="16"/>
        <v>0</v>
      </c>
      <c r="R443" s="160"/>
      <c r="S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row>
    <row r="444" spans="1:41" ht="15.75" customHeight="1">
      <c r="A444" s="118"/>
      <c r="B444" s="111"/>
      <c r="C444" s="111"/>
      <c r="D444" s="112"/>
      <c r="E444" s="111"/>
      <c r="F444" s="111"/>
      <c r="G444" s="119"/>
      <c r="H444" s="111"/>
      <c r="I444" s="118"/>
      <c r="J444" s="143"/>
      <c r="K444" s="143"/>
      <c r="L444" s="143"/>
      <c r="M444" s="143"/>
      <c r="N444" s="143"/>
      <c r="O444" s="143"/>
      <c r="P444" s="143"/>
      <c r="Q444" s="160">
        <f t="shared" si="16"/>
        <v>0</v>
      </c>
      <c r="R444" s="160"/>
      <c r="S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row>
    <row r="445" spans="1:41" ht="15.75" customHeight="1">
      <c r="A445" s="118" t="s">
        <v>657</v>
      </c>
      <c r="B445" s="111">
        <f>('Pivot Table for Data Exchange'!$Q$151)*100</f>
        <v>83.608487410697563</v>
      </c>
      <c r="C445" s="111">
        <f>('Pivot Table for Data Exchange'!$Q$154)*100</f>
        <v>0</v>
      </c>
      <c r="D445" s="112">
        <f>SUM(E445:G445)</f>
        <v>16.391512589302437</v>
      </c>
      <c r="E445" s="111">
        <f>('Pivot Table for Data Exchange'!$Q$157)*100</f>
        <v>16.391512589302437</v>
      </c>
      <c r="F445" s="111">
        <f>('Pivot Table for Data Exchange'!$Q$160)*100</f>
        <v>0</v>
      </c>
      <c r="G445" s="119">
        <f>('Pivot Table for Data Exchange'!$Q$163)*100</f>
        <v>0</v>
      </c>
      <c r="H445" s="111">
        <f>('Pivot Table for Data Exchange'!$Q$166)*100</f>
        <v>0</v>
      </c>
      <c r="I445" s="118"/>
      <c r="J445" s="143"/>
      <c r="K445" s="143"/>
      <c r="L445" s="143"/>
      <c r="M445" s="143"/>
      <c r="N445" s="143"/>
      <c r="O445" s="143"/>
      <c r="P445" s="143"/>
      <c r="Q445" s="160">
        <f t="shared" si="16"/>
        <v>100</v>
      </c>
      <c r="R445" s="160"/>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row>
    <row r="446" spans="1:41" ht="15.75" customHeight="1">
      <c r="A446" s="118" t="s">
        <v>658</v>
      </c>
      <c r="B446" s="111">
        <f>('Pivot Table for Data Exchange'!$Q$187)*100</f>
        <v>0</v>
      </c>
      <c r="C446" s="111">
        <f>('Pivot Table for Data Exchange'!$Q$190)*100</f>
        <v>0</v>
      </c>
      <c r="D446" s="112">
        <f>SUM(E446:G446)</f>
        <v>0</v>
      </c>
      <c r="E446" s="111">
        <f>('Pivot Table for Data Exchange'!$Q$193)*100</f>
        <v>0</v>
      </c>
      <c r="F446" s="111">
        <f>('Pivot Table for Data Exchange'!$Q$196)*100</f>
        <v>0</v>
      </c>
      <c r="G446" s="119">
        <f>('Pivot Table for Data Exchange'!$Q$199)*100</f>
        <v>0</v>
      </c>
      <c r="H446" s="111">
        <f>('Pivot Table for Data Exchange'!$Q$202)*100</f>
        <v>0</v>
      </c>
      <c r="I446" s="118"/>
      <c r="J446" s="143"/>
      <c r="K446" s="143"/>
      <c r="L446" s="143"/>
      <c r="M446" s="143"/>
      <c r="N446" s="143"/>
      <c r="O446" s="143"/>
      <c r="P446" s="143"/>
      <c r="Q446" s="160">
        <f t="shared" si="16"/>
        <v>0</v>
      </c>
      <c r="R446" s="160"/>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row>
    <row r="447" spans="1:41" ht="15.75" customHeight="1">
      <c r="A447" s="118" t="s">
        <v>659</v>
      </c>
      <c r="B447" s="116">
        <f>('Pivot Table for Data Exchange'!$Q$223)*100</f>
        <v>0</v>
      </c>
      <c r="C447" s="111">
        <f>('Pivot Table for Data Exchange'!$Q$226)*100</f>
        <v>0</v>
      </c>
      <c r="D447" s="112">
        <f>SUM(E447:G447)</f>
        <v>0</v>
      </c>
      <c r="E447" s="111">
        <f>('Pivot Table for Data Exchange'!$Q$229)*100</f>
        <v>0</v>
      </c>
      <c r="F447" s="111">
        <f>('Pivot Table for Data Exchange'!$Q$232)*100</f>
        <v>0</v>
      </c>
      <c r="G447" s="119">
        <f>('Pivot Table for Data Exchange'!$Q$235)*100</f>
        <v>0</v>
      </c>
      <c r="H447" s="111">
        <f>('Pivot Table for Data Exchange'!$Q$238)*100</f>
        <v>0</v>
      </c>
      <c r="I447" s="148"/>
      <c r="J447" s="143"/>
      <c r="K447" s="143"/>
      <c r="L447" s="143"/>
      <c r="M447" s="143"/>
      <c r="N447" s="143"/>
      <c r="O447" s="143"/>
      <c r="P447" s="143"/>
      <c r="Q447" s="160">
        <f>SUM(I447,C447,D447,H447)</f>
        <v>0</v>
      </c>
      <c r="R447" s="160"/>
      <c r="S447" s="161"/>
      <c r="T447" s="167"/>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row>
    <row r="448" spans="1:41" ht="15.75" customHeight="1">
      <c r="A448" s="118" t="s">
        <v>700</v>
      </c>
      <c r="B448" s="111">
        <f>('Pivot Table for Data Exchange'!$Q$259)*100</f>
        <v>0</v>
      </c>
      <c r="C448" s="111">
        <f>('Pivot Table for Data Exchange'!$Q$262)*100</f>
        <v>0</v>
      </c>
      <c r="D448" s="112">
        <f>SUM(E448:G448)</f>
        <v>0</v>
      </c>
      <c r="E448" s="111">
        <f>('Pivot Table for Data Exchange'!$Q$265)*100</f>
        <v>0</v>
      </c>
      <c r="F448" s="111">
        <f>('Pivot Table for Data Exchange'!$Q$268)*100</f>
        <v>0</v>
      </c>
      <c r="G448" s="119">
        <f>('Pivot Table for Data Exchange'!$Q$271)*100</f>
        <v>0</v>
      </c>
      <c r="H448" s="111">
        <f>('Pivot Table for Data Exchange'!$Q$274)*100</f>
        <v>0</v>
      </c>
      <c r="I448" s="118"/>
      <c r="J448" s="143"/>
      <c r="K448" s="143"/>
      <c r="L448" s="143"/>
      <c r="M448" s="143"/>
      <c r="N448" s="143"/>
      <c r="O448" s="143"/>
      <c r="P448" s="143"/>
      <c r="Q448" s="160">
        <f t="shared" si="16"/>
        <v>0</v>
      </c>
      <c r="R448" s="160"/>
      <c r="S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row>
    <row r="449" spans="1:41" ht="15.75" customHeight="1">
      <c r="A449" s="118"/>
      <c r="B449" s="111"/>
      <c r="C449" s="111"/>
      <c r="D449" s="112"/>
      <c r="E449" s="111"/>
      <c r="F449" s="111"/>
      <c r="G449" s="119"/>
      <c r="H449" s="111"/>
      <c r="I449" s="118"/>
      <c r="J449" s="143"/>
      <c r="K449" s="143"/>
      <c r="L449" s="143"/>
      <c r="M449" s="143"/>
      <c r="N449" s="143"/>
      <c r="O449" s="143"/>
      <c r="P449" s="143"/>
      <c r="Q449" s="160">
        <f t="shared" si="16"/>
        <v>0</v>
      </c>
      <c r="R449" s="160"/>
      <c r="S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row>
    <row r="450" spans="1:41" ht="15.75" customHeight="1">
      <c r="A450" s="118" t="s">
        <v>661</v>
      </c>
      <c r="B450" s="111">
        <f>('Pivot Table for Data Exchange'!$Q$295)*100</f>
        <v>0</v>
      </c>
      <c r="C450" s="111">
        <f>('Pivot Table for Data Exchange'!$Q$298)*100</f>
        <v>0</v>
      </c>
      <c r="D450" s="112">
        <f>SUM(E450:G450)</f>
        <v>0</v>
      </c>
      <c r="E450" s="111">
        <f>('Pivot Table for Data Exchange'!$Q$301)*100</f>
        <v>0</v>
      </c>
      <c r="F450" s="111">
        <f>('Pivot Table for Data Exchange'!$Q$304)*100</f>
        <v>0</v>
      </c>
      <c r="G450" s="119">
        <f>('Pivot Table for Data Exchange'!$Q$307)*100</f>
        <v>0</v>
      </c>
      <c r="H450" s="111">
        <f>('Pivot Table for Data Exchange'!$Q$310)*100</f>
        <v>0</v>
      </c>
      <c r="I450" s="118"/>
      <c r="J450" s="143"/>
      <c r="K450" s="143"/>
      <c r="L450" s="143"/>
      <c r="M450" s="143"/>
      <c r="N450" s="143"/>
      <c r="O450" s="143"/>
      <c r="P450" s="143"/>
      <c r="Q450" s="160">
        <f t="shared" si="16"/>
        <v>0</v>
      </c>
      <c r="R450" s="160"/>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row>
    <row r="451" spans="1:41" ht="15.75" customHeight="1">
      <c r="A451" s="118" t="s">
        <v>662</v>
      </c>
      <c r="B451" s="111">
        <f>('Pivot Table for Data Exchange'!$Q$331)*100</f>
        <v>0</v>
      </c>
      <c r="C451" s="111">
        <f>('Pivot Table for Data Exchange'!$Q$334)*100</f>
        <v>0</v>
      </c>
      <c r="D451" s="112">
        <f>SUM(E451:G451)</f>
        <v>0</v>
      </c>
      <c r="E451" s="111">
        <f>('Pivot Table for Data Exchange'!$Q$337)*100</f>
        <v>0</v>
      </c>
      <c r="F451" s="111">
        <f>('Pivot Table for Data Exchange'!$Q$340)*100</f>
        <v>0</v>
      </c>
      <c r="G451" s="119">
        <f>('Pivot Table for Data Exchange'!$Q$343)*100</f>
        <v>0</v>
      </c>
      <c r="H451" s="111">
        <f>('Pivot Table for Data Exchange'!$Q$346)*100</f>
        <v>0</v>
      </c>
      <c r="I451" s="118"/>
      <c r="J451" s="143"/>
      <c r="K451" s="143"/>
      <c r="L451" s="143"/>
      <c r="M451" s="143"/>
      <c r="N451" s="143"/>
      <c r="O451" s="143"/>
      <c r="P451" s="143"/>
      <c r="Q451" s="160">
        <f t="shared" si="16"/>
        <v>0</v>
      </c>
      <c r="R451" s="160"/>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row>
    <row r="452" spans="1:41" ht="15.75" customHeight="1">
      <c r="A452" s="118" t="s">
        <v>663</v>
      </c>
      <c r="B452" s="111">
        <f>('Pivot Table for Data Exchange'!$Q$367)*100</f>
        <v>0</v>
      </c>
      <c r="C452" s="111">
        <f>('Pivot Table for Data Exchange'!$Q$370)*100</f>
        <v>0</v>
      </c>
      <c r="D452" s="112">
        <f>SUM(E452:G452)</f>
        <v>0</v>
      </c>
      <c r="E452" s="111">
        <f>('Pivot Table for Data Exchange'!$Q$373)*100</f>
        <v>0</v>
      </c>
      <c r="F452" s="111">
        <f>('Pivot Table for Data Exchange'!$Q$376)*100</f>
        <v>0</v>
      </c>
      <c r="G452" s="119">
        <f>('Pivot Table for Data Exchange'!$Q$379)*100</f>
        <v>0</v>
      </c>
      <c r="H452" s="111">
        <f>('Pivot Table for Data Exchange'!$Q$382)*100</f>
        <v>0</v>
      </c>
      <c r="I452" s="118"/>
      <c r="J452" s="143"/>
      <c r="K452" s="143"/>
      <c r="L452" s="143"/>
      <c r="M452" s="143"/>
      <c r="N452" s="143"/>
      <c r="O452" s="143"/>
      <c r="P452" s="143"/>
      <c r="Q452" s="160">
        <f t="shared" si="16"/>
        <v>0</v>
      </c>
      <c r="R452" s="160"/>
      <c r="S452" s="161"/>
      <c r="T452" s="167"/>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row>
    <row r="453" spans="1:41" ht="15.75" customHeight="1">
      <c r="A453" s="118" t="s">
        <v>664</v>
      </c>
      <c r="B453" s="111">
        <f>('Pivot Table for Data Exchange'!$Q$403)*100</f>
        <v>0</v>
      </c>
      <c r="C453" s="111">
        <f>('Pivot Table for Data Exchange'!$Q$406)*100</f>
        <v>0</v>
      </c>
      <c r="D453" s="112">
        <f>SUM(E453:G453)</f>
        <v>0</v>
      </c>
      <c r="E453" s="111">
        <f>('Pivot Table for Data Exchange'!$Q$409)*100</f>
        <v>0</v>
      </c>
      <c r="F453" s="111">
        <f>('Pivot Table for Data Exchange'!$Q$412)*100</f>
        <v>0</v>
      </c>
      <c r="G453" s="119">
        <f>('Pivot Table for Data Exchange'!$Q$415)*100</f>
        <v>0</v>
      </c>
      <c r="H453" s="111">
        <f>('Pivot Table for Data Exchange'!$Q$418)*100</f>
        <v>0</v>
      </c>
      <c r="I453" s="118"/>
      <c r="J453" s="143"/>
      <c r="K453" s="143"/>
      <c r="L453" s="143"/>
      <c r="M453" s="143"/>
      <c r="N453" s="143"/>
      <c r="O453" s="143"/>
      <c r="P453" s="143"/>
      <c r="Q453" s="160">
        <f t="shared" si="16"/>
        <v>0</v>
      </c>
      <c r="R453" s="160"/>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row>
    <row r="454" spans="1:41" ht="15.75" customHeight="1">
      <c r="A454" s="118"/>
      <c r="B454" s="111"/>
      <c r="C454" s="111"/>
      <c r="D454" s="112"/>
      <c r="E454" s="111"/>
      <c r="F454" s="111"/>
      <c r="G454" s="119"/>
      <c r="H454" s="111"/>
      <c r="I454" s="118"/>
      <c r="J454" s="143"/>
      <c r="K454" s="143"/>
      <c r="L454" s="143"/>
      <c r="M454" s="143"/>
      <c r="N454" s="143"/>
      <c r="O454" s="143"/>
      <c r="P454" s="143"/>
      <c r="Q454" s="160">
        <f t="shared" si="16"/>
        <v>0</v>
      </c>
      <c r="R454" s="160"/>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row>
    <row r="455" spans="1:41" ht="15.75" customHeight="1">
      <c r="A455" s="118" t="s">
        <v>665</v>
      </c>
      <c r="B455" s="111">
        <f>('Pivot Table for Data Exchange'!$Q$439)*100</f>
        <v>0</v>
      </c>
      <c r="C455" s="111">
        <f>('Pivot Table for Data Exchange'!$Q$442)*100</f>
        <v>0</v>
      </c>
      <c r="D455" s="112">
        <f>SUM(E455:G455)</f>
        <v>0</v>
      </c>
      <c r="E455" s="111">
        <f>('Pivot Table for Data Exchange'!$Q$445)*100</f>
        <v>0</v>
      </c>
      <c r="F455" s="111">
        <f>('Pivot Table for Data Exchange'!$Q$448)*100</f>
        <v>0</v>
      </c>
      <c r="G455" s="119">
        <f>('Pivot Table for Data Exchange'!$Q$451)*100</f>
        <v>0</v>
      </c>
      <c r="H455" s="111">
        <f>('Pivot Table for Data Exchange'!$Q$454)*100</f>
        <v>0</v>
      </c>
      <c r="I455" s="118"/>
      <c r="J455" s="143"/>
      <c r="K455" s="143"/>
      <c r="L455" s="143"/>
      <c r="M455" s="143"/>
      <c r="N455" s="143"/>
      <c r="O455" s="143"/>
      <c r="P455" s="143"/>
      <c r="Q455" s="160">
        <f t="shared" si="16"/>
        <v>0</v>
      </c>
      <c r="R455" s="160"/>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row>
    <row r="456" spans="1:41" ht="15.75" customHeight="1">
      <c r="A456" s="118" t="s">
        <v>666</v>
      </c>
      <c r="B456" s="111">
        <f>('Pivot Table for Data Exchange'!$Q$475)*100</f>
        <v>0</v>
      </c>
      <c r="C456" s="111">
        <f>('Pivot Table for Data Exchange'!$Q$478)*100</f>
        <v>0</v>
      </c>
      <c r="D456" s="112">
        <f>SUM(E456:G456)</f>
        <v>0</v>
      </c>
      <c r="E456" s="111">
        <f>('Pivot Table for Data Exchange'!$Q$481)*100</f>
        <v>0</v>
      </c>
      <c r="F456" s="111">
        <f>('Pivot Table for Data Exchange'!$Q$484)*100</f>
        <v>0</v>
      </c>
      <c r="G456" s="119">
        <f>('Pivot Table for Data Exchange'!$Q$487)*100</f>
        <v>0</v>
      </c>
      <c r="H456" s="111">
        <f>('Pivot Table for Data Exchange'!$Q$490)*100</f>
        <v>0</v>
      </c>
      <c r="I456" s="118"/>
      <c r="J456" s="143"/>
      <c r="K456" s="143"/>
      <c r="L456" s="143"/>
      <c r="M456" s="143"/>
      <c r="N456" s="143"/>
      <c r="O456" s="143"/>
      <c r="P456" s="143"/>
      <c r="Q456" s="160">
        <f t="shared" si="16"/>
        <v>0</v>
      </c>
      <c r="R456" s="160"/>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row>
    <row r="457" spans="1:41" ht="15.75" customHeight="1">
      <c r="A457" s="118" t="s">
        <v>667</v>
      </c>
      <c r="B457" s="111">
        <f>('Pivot Table for Data Exchange'!$Q$511)*100</f>
        <v>0</v>
      </c>
      <c r="C457" s="111">
        <f>('Pivot Table for Data Exchange'!$Q$514)*100</f>
        <v>0</v>
      </c>
      <c r="D457" s="112">
        <f>SUM(E457:G457)</f>
        <v>0</v>
      </c>
      <c r="E457" s="111">
        <f>('Pivot Table for Data Exchange'!$Q$517)*100</f>
        <v>0</v>
      </c>
      <c r="F457" s="111">
        <f>('Pivot Table for Data Exchange'!$Q$520)*100</f>
        <v>0</v>
      </c>
      <c r="G457" s="119">
        <f>('Pivot Table for Data Exchange'!$Q$523)*100</f>
        <v>0</v>
      </c>
      <c r="H457" s="111">
        <f>('Pivot Table for Data Exchange'!$Q$526)*100</f>
        <v>0</v>
      </c>
      <c r="I457" s="118"/>
      <c r="J457" s="143"/>
      <c r="K457" s="143"/>
      <c r="L457" s="143"/>
      <c r="M457" s="143"/>
      <c r="N457" s="143"/>
      <c r="O457" s="143"/>
      <c r="P457" s="143"/>
      <c r="Q457" s="160">
        <f t="shared" si="16"/>
        <v>0</v>
      </c>
      <c r="R457" s="160"/>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row>
    <row r="458" spans="1:41" ht="15.75" customHeight="1">
      <c r="A458" s="91" t="s">
        <v>668</v>
      </c>
      <c r="B458" s="122">
        <f>('Pivot Table for Data Exchange'!$Q$547)*100</f>
        <v>0</v>
      </c>
      <c r="C458" s="122">
        <f>('Pivot Table for Data Exchange'!$Q$550)*100</f>
        <v>0</v>
      </c>
      <c r="D458" s="123">
        <f>SUM(E458:G458)</f>
        <v>0</v>
      </c>
      <c r="E458" s="122">
        <f>('Pivot Table for Data Exchange'!$Q$553)*100</f>
        <v>0</v>
      </c>
      <c r="F458" s="122">
        <f>('Pivot Table for Data Exchange'!$Q$556)*100</f>
        <v>0</v>
      </c>
      <c r="G458" s="124">
        <f>('Pivot Table for Data Exchange'!$Q$559)*100</f>
        <v>0</v>
      </c>
      <c r="H458" s="122">
        <f>('Pivot Table for Data Exchange'!$Q$562)*100</f>
        <v>0</v>
      </c>
      <c r="I458" s="118"/>
      <c r="J458" s="143"/>
      <c r="K458" s="143"/>
      <c r="L458" s="143"/>
      <c r="M458" s="143"/>
      <c r="N458" s="143"/>
      <c r="O458" s="143"/>
      <c r="P458" s="143"/>
      <c r="Q458" s="160">
        <f>SUM(B458,C458,D458,H458)</f>
        <v>0</v>
      </c>
      <c r="R458" s="160"/>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row>
    <row r="459" spans="1:41" s="166" customFormat="1" ht="18" customHeight="1">
      <c r="A459" s="58" t="s">
        <v>697</v>
      </c>
      <c r="B459" s="126"/>
      <c r="C459" s="126"/>
      <c r="D459" s="127"/>
      <c r="E459" s="126"/>
      <c r="F459" s="127"/>
      <c r="G459" s="127"/>
      <c r="H459" s="126"/>
      <c r="I459" s="58"/>
      <c r="J459" s="126"/>
      <c r="K459" s="126"/>
      <c r="L459" s="127"/>
      <c r="M459" s="126"/>
      <c r="N459" s="127"/>
      <c r="O459" s="127"/>
      <c r="P459" s="126"/>
      <c r="Q459" s="164"/>
      <c r="R459" s="164"/>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row>
    <row r="460" spans="1:41" s="166" customFormat="1" ht="18" customHeight="1">
      <c r="A460" s="58"/>
      <c r="B460" s="126"/>
      <c r="C460" s="126"/>
      <c r="D460" s="127"/>
      <c r="E460" s="126"/>
      <c r="F460" s="127"/>
      <c r="G460" s="127"/>
      <c r="H460" s="126"/>
      <c r="I460" s="58"/>
      <c r="J460" s="126"/>
      <c r="K460" s="126"/>
      <c r="L460" s="127"/>
      <c r="M460" s="126"/>
      <c r="N460" s="127"/>
      <c r="O460" s="127"/>
      <c r="P460" s="126"/>
      <c r="Q460" s="164"/>
      <c r="R460" s="164"/>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row>
    <row r="461" spans="1:41" s="166" customFormat="1" ht="13.5" customHeight="1">
      <c r="A461" s="58"/>
      <c r="B461" s="135"/>
      <c r="C461" s="60"/>
      <c r="D461" s="60"/>
      <c r="E461" s="60"/>
      <c r="F461" s="60"/>
      <c r="G461" s="60"/>
      <c r="H461" s="64" t="s">
        <v>1034</v>
      </c>
      <c r="I461" s="58"/>
      <c r="J461" s="60"/>
      <c r="K461" s="60"/>
      <c r="L461" s="60"/>
      <c r="M461" s="60"/>
      <c r="N461" s="60"/>
      <c r="O461" s="60"/>
      <c r="P461" s="136"/>
      <c r="Q461" s="171"/>
      <c r="R461" s="169"/>
    </row>
    <row r="462" spans="1:41" s="166" customFormat="1" ht="13.5" customHeight="1">
      <c r="A462" s="134"/>
      <c r="B462" s="60"/>
      <c r="C462" s="60"/>
      <c r="D462" s="60"/>
      <c r="E462" s="60"/>
      <c r="F462" s="60"/>
      <c r="G462" s="60"/>
      <c r="H462" s="62"/>
      <c r="I462" s="134"/>
      <c r="J462" s="60"/>
      <c r="K462" s="60"/>
      <c r="L462" s="60"/>
      <c r="M462" s="60"/>
      <c r="N462" s="60"/>
      <c r="O462" s="60"/>
      <c r="P462" s="60"/>
      <c r="Q462" s="171"/>
      <c r="R462" s="169"/>
    </row>
    <row r="463" spans="1:41" s="166" customFormat="1" ht="13.5" customHeight="1">
      <c r="A463" s="134"/>
      <c r="B463" s="60"/>
      <c r="C463" s="60"/>
      <c r="D463" s="60"/>
      <c r="E463" s="60"/>
      <c r="F463" s="60"/>
      <c r="G463" s="60"/>
      <c r="H463" s="62"/>
      <c r="I463" s="134"/>
      <c r="J463" s="60"/>
      <c r="K463" s="60"/>
      <c r="L463" s="60"/>
      <c r="M463" s="60"/>
      <c r="N463" s="60"/>
      <c r="O463" s="60"/>
      <c r="P463" s="60"/>
      <c r="Q463" s="171"/>
      <c r="R463" s="169"/>
    </row>
    <row r="464" spans="1:41">
      <c r="I464" s="141"/>
      <c r="J464" s="118"/>
      <c r="K464" s="118"/>
      <c r="L464" s="118"/>
      <c r="M464" s="118"/>
      <c r="N464" s="118"/>
      <c r="O464" s="118"/>
      <c r="P464" s="118"/>
    </row>
    <row r="465" spans="9:16">
      <c r="I465" s="141"/>
      <c r="J465" s="118"/>
      <c r="K465" s="118"/>
      <c r="L465" s="118"/>
      <c r="M465" s="118"/>
      <c r="N465" s="118"/>
      <c r="O465" s="118"/>
      <c r="P465" s="118"/>
    </row>
    <row r="466" spans="9:16">
      <c r="I466" s="141"/>
      <c r="J466" s="118"/>
      <c r="K466" s="118"/>
      <c r="L466" s="118"/>
      <c r="M466" s="118"/>
      <c r="N466" s="118"/>
      <c r="O466" s="118"/>
      <c r="P466" s="118"/>
    </row>
    <row r="467" spans="9:16">
      <c r="I467" s="141"/>
      <c r="J467" s="118"/>
      <c r="K467" s="118"/>
      <c r="L467" s="118"/>
      <c r="M467" s="118"/>
      <c r="N467" s="118"/>
      <c r="O467" s="118"/>
      <c r="P467" s="118"/>
    </row>
    <row r="468" spans="9:16">
      <c r="I468" s="141"/>
      <c r="J468" s="118"/>
      <c r="K468" s="118"/>
      <c r="L468" s="118"/>
      <c r="M468" s="118"/>
      <c r="N468" s="118"/>
      <c r="O468" s="118"/>
      <c r="P468" s="118"/>
    </row>
    <row r="469" spans="9:16">
      <c r="I469" s="141"/>
      <c r="J469" s="118"/>
      <c r="K469" s="118"/>
      <c r="L469" s="118"/>
      <c r="M469" s="118"/>
      <c r="N469" s="118"/>
      <c r="O469" s="118"/>
      <c r="P469" s="118"/>
    </row>
    <row r="470" spans="9:16">
      <c r="I470" s="141"/>
      <c r="J470" s="118"/>
      <c r="K470" s="118"/>
      <c r="L470" s="118"/>
      <c r="M470" s="118"/>
      <c r="N470" s="118"/>
      <c r="O470" s="118"/>
      <c r="P470" s="118"/>
    </row>
    <row r="471" spans="9:16">
      <c r="I471" s="141"/>
      <c r="J471" s="118"/>
      <c r="K471" s="118"/>
      <c r="L471" s="118"/>
      <c r="M471" s="118"/>
      <c r="N471" s="118"/>
      <c r="O471" s="118"/>
      <c r="P471" s="118"/>
    </row>
    <row r="472" spans="9:16">
      <c r="I472" s="141"/>
      <c r="J472" s="118"/>
      <c r="K472" s="118"/>
      <c r="L472" s="118"/>
      <c r="M472" s="118"/>
      <c r="N472" s="118"/>
      <c r="O472" s="118"/>
      <c r="P472" s="118"/>
    </row>
    <row r="473" spans="9:16">
      <c r="I473" s="141"/>
      <c r="J473" s="118"/>
      <c r="K473" s="118"/>
      <c r="L473" s="118"/>
      <c r="M473" s="118"/>
      <c r="N473" s="118"/>
      <c r="O473" s="118"/>
      <c r="P473" s="118"/>
    </row>
    <row r="474" spans="9:16">
      <c r="I474" s="141"/>
      <c r="J474" s="118"/>
      <c r="K474" s="118"/>
      <c r="L474" s="118"/>
      <c r="M474" s="118"/>
      <c r="N474" s="118"/>
      <c r="O474" s="118"/>
      <c r="P474" s="118"/>
    </row>
    <row r="475" spans="9:16">
      <c r="I475" s="141"/>
      <c r="J475" s="118"/>
      <c r="K475" s="118"/>
      <c r="L475" s="118"/>
      <c r="M475" s="118"/>
      <c r="N475" s="118"/>
      <c r="O475" s="118"/>
      <c r="P475" s="118"/>
    </row>
    <row r="476" spans="9:16">
      <c r="I476" s="141"/>
      <c r="J476" s="118"/>
      <c r="K476" s="118"/>
      <c r="L476" s="118"/>
      <c r="M476" s="118"/>
      <c r="N476" s="118"/>
      <c r="O476" s="118"/>
      <c r="P476" s="118"/>
    </row>
    <row r="477" spans="9:16">
      <c r="I477" s="141"/>
      <c r="J477" s="118"/>
      <c r="K477" s="118"/>
      <c r="L477" s="118"/>
      <c r="M477" s="118"/>
      <c r="N477" s="118"/>
      <c r="O477" s="118"/>
      <c r="P477" s="118"/>
    </row>
    <row r="478" spans="9:16">
      <c r="I478" s="141"/>
      <c r="J478" s="118"/>
      <c r="K478" s="118"/>
      <c r="L478" s="118"/>
      <c r="M478" s="118"/>
      <c r="N478" s="118"/>
      <c r="O478" s="118"/>
      <c r="P478" s="118"/>
    </row>
    <row r="479" spans="9:16">
      <c r="I479" s="141"/>
      <c r="J479" s="118"/>
      <c r="K479" s="118"/>
      <c r="L479" s="118"/>
      <c r="M479" s="118"/>
      <c r="N479" s="118"/>
      <c r="O479" s="118"/>
      <c r="P479" s="118"/>
    </row>
    <row r="480" spans="9:16">
      <c r="I480" s="141"/>
      <c r="J480" s="118"/>
      <c r="K480" s="118"/>
      <c r="L480" s="118"/>
      <c r="M480" s="118"/>
      <c r="N480" s="118"/>
      <c r="O480" s="118"/>
      <c r="P480" s="118"/>
    </row>
    <row r="481" spans="9:16">
      <c r="I481" s="141"/>
      <c r="J481" s="118"/>
      <c r="K481" s="118"/>
      <c r="L481" s="118"/>
      <c r="M481" s="118"/>
      <c r="N481" s="118"/>
      <c r="O481" s="118"/>
      <c r="P481" s="118"/>
    </row>
    <row r="482" spans="9:16">
      <c r="I482" s="141"/>
      <c r="J482" s="118"/>
      <c r="K482" s="118"/>
      <c r="L482" s="118"/>
      <c r="M482" s="118"/>
      <c r="N482" s="118"/>
      <c r="O482" s="118"/>
      <c r="P482" s="118"/>
    </row>
    <row r="483" spans="9:16">
      <c r="I483" s="141"/>
      <c r="J483" s="118"/>
      <c r="K483" s="118"/>
      <c r="L483" s="118"/>
      <c r="M483" s="118"/>
      <c r="N483" s="118"/>
      <c r="O483" s="118"/>
      <c r="P483" s="118"/>
    </row>
    <row r="484" spans="9:16">
      <c r="I484" s="141"/>
      <c r="J484" s="118"/>
      <c r="K484" s="118"/>
      <c r="L484" s="118"/>
      <c r="M484" s="118"/>
      <c r="N484" s="118"/>
      <c r="O484" s="118"/>
      <c r="P484" s="118"/>
    </row>
    <row r="485" spans="9:16">
      <c r="I485" s="141"/>
      <c r="J485" s="118"/>
      <c r="K485" s="118"/>
      <c r="L485" s="118"/>
      <c r="M485" s="118"/>
      <c r="N485" s="118"/>
      <c r="O485" s="118"/>
      <c r="P485" s="118"/>
    </row>
    <row r="486" spans="9:16">
      <c r="I486" s="141"/>
      <c r="J486" s="118"/>
      <c r="K486" s="118"/>
      <c r="L486" s="118"/>
      <c r="M486" s="118"/>
      <c r="N486" s="118"/>
      <c r="O486" s="118"/>
      <c r="P486" s="118"/>
    </row>
    <row r="487" spans="9:16">
      <c r="I487" s="141"/>
      <c r="J487" s="118"/>
      <c r="K487" s="118"/>
      <c r="L487" s="118"/>
      <c r="M487" s="118"/>
      <c r="N487" s="118"/>
      <c r="O487" s="118"/>
      <c r="P487" s="118"/>
    </row>
    <row r="488" spans="9:16">
      <c r="I488" s="141"/>
      <c r="J488" s="118"/>
      <c r="K488" s="118"/>
      <c r="L488" s="118"/>
      <c r="M488" s="118"/>
      <c r="N488" s="118"/>
      <c r="O488" s="118"/>
      <c r="P488" s="118"/>
    </row>
    <row r="489" spans="9:16">
      <c r="I489" s="141"/>
      <c r="J489" s="118"/>
      <c r="K489" s="118"/>
      <c r="L489" s="118"/>
      <c r="M489" s="118"/>
      <c r="N489" s="118"/>
      <c r="O489" s="118"/>
      <c r="P489" s="118"/>
    </row>
    <row r="490" spans="9:16">
      <c r="I490" s="141"/>
      <c r="J490" s="118"/>
      <c r="K490" s="118"/>
      <c r="L490" s="118"/>
      <c r="M490" s="118"/>
      <c r="N490" s="118"/>
      <c r="O490" s="118"/>
      <c r="P490" s="118"/>
    </row>
    <row r="491" spans="9:16">
      <c r="I491" s="141"/>
      <c r="J491" s="118"/>
      <c r="K491" s="118"/>
      <c r="L491" s="118"/>
      <c r="M491" s="118"/>
      <c r="N491" s="118"/>
      <c r="O491" s="118"/>
      <c r="P491" s="118"/>
    </row>
    <row r="492" spans="9:16">
      <c r="I492" s="141"/>
      <c r="J492" s="118"/>
      <c r="K492" s="118"/>
      <c r="L492" s="118"/>
      <c r="M492" s="118"/>
      <c r="N492" s="118"/>
      <c r="O492" s="118"/>
      <c r="P492" s="118"/>
    </row>
    <row r="493" spans="9:16">
      <c r="I493" s="141"/>
      <c r="J493" s="118"/>
      <c r="K493" s="118"/>
      <c r="L493" s="118"/>
      <c r="M493" s="118"/>
      <c r="N493" s="118"/>
      <c r="O493" s="118"/>
      <c r="P493" s="118"/>
    </row>
    <row r="494" spans="9:16">
      <c r="I494" s="141"/>
      <c r="J494" s="118"/>
      <c r="K494" s="118"/>
      <c r="L494" s="118"/>
      <c r="M494" s="118"/>
      <c r="N494" s="118"/>
      <c r="O494" s="118"/>
      <c r="P494" s="118"/>
    </row>
    <row r="495" spans="9:16">
      <c r="I495" s="141"/>
      <c r="J495" s="118"/>
      <c r="K495" s="118"/>
      <c r="L495" s="118"/>
      <c r="M495" s="118"/>
      <c r="N495" s="118"/>
      <c r="O495" s="118"/>
      <c r="P495" s="118"/>
    </row>
    <row r="496" spans="9:16">
      <c r="I496" s="141"/>
      <c r="J496" s="118"/>
      <c r="K496" s="118"/>
      <c r="L496" s="118"/>
      <c r="M496" s="118"/>
      <c r="N496" s="118"/>
      <c r="O496" s="118"/>
      <c r="P496" s="118"/>
    </row>
    <row r="497" spans="9:16">
      <c r="I497" s="141"/>
      <c r="J497" s="118"/>
      <c r="K497" s="118"/>
      <c r="L497" s="118"/>
      <c r="M497" s="118"/>
      <c r="N497" s="118"/>
      <c r="O497" s="118"/>
      <c r="P497" s="118"/>
    </row>
    <row r="498" spans="9:16">
      <c r="I498" s="141"/>
      <c r="J498" s="118"/>
      <c r="K498" s="118"/>
      <c r="L498" s="118"/>
      <c r="M498" s="118"/>
      <c r="N498" s="118"/>
      <c r="O498" s="118"/>
      <c r="P498" s="118"/>
    </row>
    <row r="499" spans="9:16">
      <c r="I499" s="141"/>
      <c r="J499" s="118"/>
      <c r="K499" s="118"/>
      <c r="L499" s="118"/>
      <c r="M499" s="118"/>
      <c r="N499" s="118"/>
      <c r="O499" s="118"/>
      <c r="P499" s="118"/>
    </row>
    <row r="500" spans="9:16">
      <c r="I500" s="141"/>
      <c r="J500" s="118"/>
      <c r="K500" s="118"/>
      <c r="L500" s="118"/>
      <c r="M500" s="118"/>
      <c r="N500" s="118"/>
      <c r="O500" s="118"/>
      <c r="P500" s="118"/>
    </row>
    <row r="501" spans="9:16">
      <c r="I501" s="141"/>
      <c r="J501" s="118"/>
      <c r="K501" s="118"/>
      <c r="L501" s="118"/>
      <c r="M501" s="118"/>
      <c r="N501" s="118"/>
      <c r="O501" s="118"/>
      <c r="P501" s="118"/>
    </row>
    <row r="502" spans="9:16">
      <c r="I502" s="141"/>
      <c r="J502" s="118"/>
      <c r="K502" s="118"/>
      <c r="L502" s="118"/>
      <c r="M502" s="118"/>
      <c r="N502" s="118"/>
      <c r="O502" s="118"/>
      <c r="P502" s="118"/>
    </row>
    <row r="503" spans="9:16">
      <c r="I503" s="141"/>
      <c r="J503" s="118"/>
      <c r="K503" s="118"/>
      <c r="L503" s="118"/>
      <c r="M503" s="118"/>
      <c r="N503" s="118"/>
      <c r="O503" s="118"/>
      <c r="P503" s="118"/>
    </row>
    <row r="504" spans="9:16">
      <c r="I504" s="141"/>
      <c r="J504" s="118"/>
      <c r="K504" s="118"/>
      <c r="L504" s="118"/>
      <c r="M504" s="118"/>
      <c r="N504" s="118"/>
      <c r="O504" s="118"/>
      <c r="P504" s="118"/>
    </row>
    <row r="505" spans="9:16">
      <c r="I505" s="141"/>
      <c r="J505" s="118"/>
      <c r="K505" s="118"/>
      <c r="L505" s="118"/>
      <c r="M505" s="118"/>
      <c r="N505" s="118"/>
      <c r="O505" s="118"/>
      <c r="P505" s="118"/>
    </row>
    <row r="506" spans="9:16">
      <c r="I506" s="141"/>
      <c r="J506" s="118"/>
      <c r="K506" s="118"/>
      <c r="L506" s="118"/>
      <c r="M506" s="118"/>
      <c r="N506" s="118"/>
      <c r="O506" s="118"/>
      <c r="P506" s="118"/>
    </row>
    <row r="507" spans="9:16">
      <c r="I507" s="141"/>
      <c r="J507" s="118"/>
      <c r="K507" s="118"/>
      <c r="L507" s="118"/>
      <c r="M507" s="118"/>
      <c r="N507" s="118"/>
      <c r="O507" s="118"/>
      <c r="P507" s="118"/>
    </row>
    <row r="508" spans="9:16">
      <c r="I508" s="141"/>
      <c r="J508" s="118"/>
      <c r="K508" s="118"/>
      <c r="L508" s="118"/>
      <c r="M508" s="118"/>
      <c r="N508" s="118"/>
      <c r="O508" s="118"/>
      <c r="P508" s="118"/>
    </row>
    <row r="509" spans="9:16">
      <c r="I509" s="141"/>
      <c r="J509" s="118"/>
      <c r="K509" s="118"/>
      <c r="L509" s="118"/>
      <c r="M509" s="118"/>
      <c r="N509" s="118"/>
      <c r="O509" s="118"/>
      <c r="P509" s="118"/>
    </row>
    <row r="510" spans="9:16">
      <c r="I510" s="141"/>
      <c r="J510" s="118"/>
      <c r="K510" s="118"/>
      <c r="L510" s="118"/>
      <c r="M510" s="118"/>
      <c r="N510" s="118"/>
      <c r="O510" s="118"/>
      <c r="P510" s="118"/>
    </row>
    <row r="511" spans="9:16">
      <c r="I511" s="141"/>
      <c r="J511" s="118"/>
      <c r="K511" s="118"/>
      <c r="L511" s="118"/>
      <c r="M511" s="118"/>
      <c r="N511" s="118"/>
      <c r="O511" s="118"/>
      <c r="P511" s="118"/>
    </row>
    <row r="512" spans="9:16">
      <c r="I512" s="141"/>
      <c r="J512" s="118"/>
      <c r="K512" s="118"/>
      <c r="L512" s="118"/>
      <c r="M512" s="118"/>
      <c r="N512" s="118"/>
      <c r="O512" s="118"/>
      <c r="P512" s="118"/>
    </row>
    <row r="513" spans="9:16">
      <c r="I513" s="141"/>
      <c r="J513" s="118"/>
      <c r="K513" s="118"/>
      <c r="L513" s="118"/>
      <c r="M513" s="118"/>
      <c r="N513" s="118"/>
      <c r="O513" s="118"/>
      <c r="P513" s="118"/>
    </row>
    <row r="514" spans="9:16">
      <c r="I514" s="141"/>
      <c r="J514" s="118"/>
      <c r="K514" s="118"/>
      <c r="L514" s="118"/>
      <c r="M514" s="118"/>
      <c r="N514" s="118"/>
      <c r="O514" s="118"/>
      <c r="P514" s="118"/>
    </row>
    <row r="515" spans="9:16">
      <c r="I515" s="141"/>
      <c r="J515" s="118"/>
      <c r="K515" s="118"/>
      <c r="L515" s="118"/>
      <c r="M515" s="118"/>
      <c r="N515" s="118"/>
      <c r="O515" s="118"/>
      <c r="P515" s="118"/>
    </row>
    <row r="516" spans="9:16">
      <c r="I516" s="141"/>
      <c r="J516" s="118"/>
      <c r="K516" s="118"/>
      <c r="L516" s="118"/>
      <c r="M516" s="118"/>
      <c r="N516" s="118"/>
      <c r="O516" s="118"/>
      <c r="P516" s="118"/>
    </row>
    <row r="517" spans="9:16">
      <c r="I517" s="141"/>
      <c r="J517" s="118"/>
      <c r="K517" s="118"/>
      <c r="L517" s="118"/>
      <c r="M517" s="118"/>
      <c r="N517" s="118"/>
      <c r="O517" s="118"/>
      <c r="P517" s="118"/>
    </row>
    <row r="518" spans="9:16">
      <c r="I518" s="141"/>
      <c r="J518" s="118"/>
      <c r="K518" s="118"/>
      <c r="L518" s="118"/>
      <c r="M518" s="118"/>
      <c r="N518" s="118"/>
      <c r="O518" s="118"/>
      <c r="P518" s="118"/>
    </row>
    <row r="519" spans="9:16">
      <c r="I519" s="141"/>
      <c r="J519" s="118"/>
      <c r="K519" s="118"/>
      <c r="L519" s="118"/>
      <c r="M519" s="118"/>
      <c r="N519" s="118"/>
      <c r="O519" s="118"/>
      <c r="P519" s="118"/>
    </row>
    <row r="520" spans="9:16">
      <c r="I520" s="141"/>
      <c r="J520" s="118"/>
      <c r="K520" s="118"/>
      <c r="L520" s="118"/>
      <c r="M520" s="118"/>
      <c r="N520" s="118"/>
      <c r="O520" s="118"/>
      <c r="P520" s="118"/>
    </row>
    <row r="521" spans="9:16">
      <c r="I521" s="141"/>
      <c r="J521" s="118"/>
      <c r="K521" s="118"/>
      <c r="L521" s="118"/>
      <c r="M521" s="118"/>
      <c r="N521" s="118"/>
      <c r="O521" s="118"/>
      <c r="P521" s="118"/>
    </row>
    <row r="522" spans="9:16">
      <c r="I522" s="141"/>
      <c r="J522" s="118"/>
      <c r="K522" s="118"/>
      <c r="L522" s="118"/>
      <c r="M522" s="118"/>
      <c r="N522" s="118"/>
      <c r="O522" s="118"/>
      <c r="P522" s="118"/>
    </row>
    <row r="523" spans="9:16">
      <c r="I523" s="141"/>
      <c r="J523" s="118"/>
      <c r="K523" s="118"/>
      <c r="L523" s="118"/>
      <c r="M523" s="118"/>
      <c r="N523" s="118"/>
      <c r="O523" s="118"/>
      <c r="P523" s="118"/>
    </row>
    <row r="524" spans="9:16">
      <c r="I524" s="141"/>
      <c r="J524" s="118"/>
      <c r="K524" s="118"/>
      <c r="L524" s="118"/>
      <c r="M524" s="118"/>
      <c r="N524" s="118"/>
      <c r="O524" s="118"/>
      <c r="P524" s="118"/>
    </row>
    <row r="525" spans="9:16">
      <c r="I525" s="141"/>
      <c r="J525" s="118"/>
      <c r="K525" s="118"/>
      <c r="L525" s="118"/>
      <c r="M525" s="118"/>
      <c r="N525" s="118"/>
      <c r="O525" s="118"/>
      <c r="P525" s="118"/>
    </row>
    <row r="526" spans="9:16">
      <c r="I526" s="141"/>
      <c r="J526" s="118"/>
      <c r="K526" s="118"/>
      <c r="L526" s="118"/>
      <c r="M526" s="118"/>
      <c r="N526" s="118"/>
      <c r="O526" s="118"/>
      <c r="P526" s="118"/>
    </row>
    <row r="527" spans="9:16">
      <c r="I527" s="141"/>
      <c r="J527" s="118"/>
      <c r="K527" s="118"/>
      <c r="L527" s="118"/>
      <c r="M527" s="118"/>
      <c r="N527" s="118"/>
      <c r="O527" s="118"/>
      <c r="P527" s="118"/>
    </row>
    <row r="528" spans="9:16">
      <c r="I528" s="141"/>
      <c r="J528" s="118"/>
      <c r="K528" s="118"/>
      <c r="L528" s="118"/>
      <c r="M528" s="118"/>
      <c r="N528" s="118"/>
      <c r="O528" s="118"/>
      <c r="P528" s="118"/>
    </row>
    <row r="529" spans="9:16">
      <c r="I529" s="141"/>
      <c r="J529" s="118"/>
      <c r="K529" s="118"/>
      <c r="L529" s="118"/>
      <c r="M529" s="118"/>
      <c r="N529" s="118"/>
      <c r="O529" s="118"/>
      <c r="P529" s="118"/>
    </row>
    <row r="530" spans="9:16">
      <c r="I530" s="141"/>
      <c r="J530" s="118"/>
      <c r="K530" s="118"/>
      <c r="L530" s="118"/>
      <c r="M530" s="118"/>
      <c r="N530" s="118"/>
      <c r="O530" s="118"/>
      <c r="P530" s="118"/>
    </row>
    <row r="531" spans="9:16">
      <c r="I531" s="141"/>
      <c r="J531" s="118"/>
      <c r="K531" s="118"/>
      <c r="L531" s="118"/>
      <c r="M531" s="118"/>
      <c r="N531" s="118"/>
      <c r="O531" s="118"/>
      <c r="P531" s="118"/>
    </row>
    <row r="532" spans="9:16">
      <c r="I532" s="141"/>
      <c r="J532" s="118"/>
      <c r="K532" s="118"/>
      <c r="L532" s="118"/>
      <c r="M532" s="118"/>
      <c r="N532" s="118"/>
      <c r="O532" s="118"/>
      <c r="P532" s="118"/>
    </row>
  </sheetData>
  <mergeCells count="46">
    <mergeCell ref="D438:G438"/>
    <mergeCell ref="A62:H62"/>
    <mergeCell ref="I62:P62"/>
    <mergeCell ref="D317:G317"/>
    <mergeCell ref="A339:H339"/>
    <mergeCell ref="D347:G347"/>
    <mergeCell ref="A369:H369"/>
    <mergeCell ref="D378:G378"/>
    <mergeCell ref="D408:G408"/>
    <mergeCell ref="D224:G224"/>
    <mergeCell ref="A246:H246"/>
    <mergeCell ref="D255:G255"/>
    <mergeCell ref="A277:H277"/>
    <mergeCell ref="D286:G286"/>
    <mergeCell ref="A308:H308"/>
    <mergeCell ref="A184:H184"/>
    <mergeCell ref="I184:P184"/>
    <mergeCell ref="D193:G193"/>
    <mergeCell ref="L193:O193"/>
    <mergeCell ref="A215:H215"/>
    <mergeCell ref="I215:P215"/>
    <mergeCell ref="D132:G132"/>
    <mergeCell ref="L132:O132"/>
    <mergeCell ref="A154:H154"/>
    <mergeCell ref="I154:P154"/>
    <mergeCell ref="D162:G162"/>
    <mergeCell ref="L162:O162"/>
    <mergeCell ref="A92:H92"/>
    <mergeCell ref="I92:P92"/>
    <mergeCell ref="D101:G101"/>
    <mergeCell ref="L101:O101"/>
    <mergeCell ref="A123:H123"/>
    <mergeCell ref="I123:P123"/>
    <mergeCell ref="D39:G39"/>
    <mergeCell ref="L39:O39"/>
    <mergeCell ref="A61:H61"/>
    <mergeCell ref="I61:P61"/>
    <mergeCell ref="D70:G70"/>
    <mergeCell ref="L70:O70"/>
    <mergeCell ref="A30:H30"/>
    <mergeCell ref="I30:P30"/>
    <mergeCell ref="Q2:X2"/>
    <mergeCell ref="D7:G7"/>
    <mergeCell ref="L7:O7"/>
    <mergeCell ref="A29:H29"/>
    <mergeCell ref="I29:P29"/>
  </mergeCells>
  <conditionalFormatting sqref="Q1:R7 Q9:R1048576">
    <cfRule type="cellIs" dxfId="1282" priority="1" stopIfTrue="1" operator="notEqual">
      <formula>100</formula>
    </cfRule>
  </conditionalFormatting>
  <pageMargins left="0.7" right="0.7" top="0.75" bottom="0.75" header="0.3" footer="0.3"/>
  <pageSetup firstPageNumber="98" orientation="landscape" useFirstPageNumber="1" r:id="rId1"/>
  <headerFooter>
    <oddHeader>&amp;R&amp;"Arial,Regular"&amp;8SREB-State Data Exchange</oddHeader>
    <oddFooter>&amp;C&amp;"Arial,Regular"&amp;10&amp;P</oddFooter>
  </headerFooter>
  <rowBreaks count="14" manualBreakCount="14">
    <brk id="32" max="15" man="1"/>
    <brk id="63" max="15" man="1"/>
    <brk id="94" max="15" man="1"/>
    <brk id="125" max="15" man="1"/>
    <brk id="155" max="15" man="1"/>
    <brk id="186" max="15" man="1"/>
    <brk id="217" max="15" man="1"/>
    <brk id="248" max="15" man="1"/>
    <brk id="279" max="15" man="1"/>
    <brk id="310" max="15" man="1"/>
    <brk id="340" max="15" man="1"/>
    <brk id="371" max="15" man="1"/>
    <brk id="401" max="15" man="1"/>
    <brk id="431" max="15" man="1"/>
  </rowBreaks>
  <colBreaks count="1" manualBreakCount="1">
    <brk id="8" max="460" man="1"/>
  </colBreaks>
</worksheet>
</file>

<file path=xl/worksheets/sheet4.xml><?xml version="1.0" encoding="utf-8"?>
<worksheet xmlns="http://schemas.openxmlformats.org/spreadsheetml/2006/main" xmlns:r="http://schemas.openxmlformats.org/officeDocument/2006/relationships">
  <sheetPr>
    <tabColor theme="5" tint="0.59999389629810485"/>
  </sheetPr>
  <dimension ref="A1:AO532"/>
  <sheetViews>
    <sheetView showGridLines="0" showZeros="0" view="pageBreakPreview" topLeftCell="A189" zoomScaleNormal="100" zoomScaleSheetLayoutView="100" workbookViewId="0">
      <selection activeCell="D446" sqref="D446"/>
    </sheetView>
  </sheetViews>
  <sheetFormatPr defaultRowHeight="12.75"/>
  <cols>
    <col min="1" max="1" width="13.42578125" style="65" customWidth="1"/>
    <col min="2" max="3" width="9.42578125" style="65" bestFit="1" customWidth="1"/>
    <col min="4" max="4" width="9.85546875" style="65" bestFit="1" customWidth="1"/>
    <col min="5" max="5" width="5.7109375" style="65" bestFit="1" customWidth="1"/>
    <col min="6" max="6" width="11.42578125" style="65" customWidth="1"/>
    <col min="7" max="7" width="7.85546875" style="65" bestFit="1" customWidth="1"/>
    <col min="8" max="8" width="12.28515625" style="118" bestFit="1" customWidth="1"/>
    <col min="9" max="9" width="13" style="151" customWidth="1"/>
    <col min="10" max="11" width="9" style="65" customWidth="1"/>
    <col min="12" max="12" width="10" style="65" bestFit="1" customWidth="1"/>
    <col min="13" max="13" width="6.42578125" style="65" bestFit="1" customWidth="1"/>
    <col min="14" max="14" width="11.28515625" style="65" customWidth="1"/>
    <col min="15" max="15" width="7.85546875" style="65" bestFit="1" customWidth="1"/>
    <col min="16" max="16" width="12.28515625" style="65" bestFit="1" customWidth="1"/>
    <col min="17" max="17" width="11.5703125" style="155" bestFit="1" customWidth="1"/>
    <col min="18" max="18" width="11.5703125" style="157" bestFit="1" customWidth="1"/>
    <col min="19" max="16384" width="9.140625" style="65"/>
  </cols>
  <sheetData>
    <row r="1" spans="1:41" ht="18">
      <c r="A1" s="31" t="s">
        <v>1011</v>
      </c>
      <c r="B1" s="86"/>
      <c r="C1" s="86"/>
      <c r="D1" s="86"/>
      <c r="E1" s="86"/>
      <c r="F1" s="86"/>
      <c r="G1" s="86"/>
      <c r="H1" s="87"/>
      <c r="I1" s="31" t="s">
        <v>1026</v>
      </c>
      <c r="J1" s="38"/>
      <c r="K1" s="38"/>
      <c r="L1" s="86"/>
      <c r="M1" s="38"/>
      <c r="N1" s="38"/>
      <c r="O1" s="38"/>
      <c r="P1" s="38"/>
      <c r="Q1" s="152"/>
      <c r="R1" s="153"/>
    </row>
    <row r="2" spans="1:41" ht="15">
      <c r="A2" s="37"/>
      <c r="B2" s="38"/>
      <c r="C2" s="38"/>
      <c r="D2" s="38"/>
      <c r="E2" s="38"/>
      <c r="F2" s="38"/>
      <c r="G2" s="38"/>
      <c r="H2" s="88"/>
      <c r="I2" s="37"/>
      <c r="J2" s="38"/>
      <c r="K2" s="38"/>
      <c r="L2" s="38"/>
      <c r="M2" s="38"/>
      <c r="N2" s="38"/>
      <c r="O2" s="38"/>
      <c r="P2" s="38"/>
      <c r="Q2" s="653"/>
      <c r="R2" s="654"/>
      <c r="S2" s="654"/>
      <c r="T2" s="654"/>
      <c r="U2" s="654"/>
      <c r="V2" s="654"/>
      <c r="W2" s="654"/>
      <c r="X2" s="654"/>
    </row>
    <row r="3" spans="1:41" ht="15.75">
      <c r="A3" s="89" t="s">
        <v>683</v>
      </c>
      <c r="B3" s="38"/>
      <c r="C3" s="38"/>
      <c r="D3" s="38"/>
      <c r="E3" s="38"/>
      <c r="F3" s="38"/>
      <c r="G3" s="38"/>
      <c r="H3" s="88"/>
      <c r="I3" s="89" t="s">
        <v>684</v>
      </c>
      <c r="J3" s="38"/>
      <c r="K3" s="38"/>
      <c r="L3" s="38"/>
      <c r="M3" s="38"/>
      <c r="N3" s="38"/>
      <c r="O3" s="38"/>
      <c r="P3" s="38"/>
      <c r="R3" s="156" t="s">
        <v>59</v>
      </c>
    </row>
    <row r="4" spans="1:41" ht="15.75">
      <c r="A4" s="89" t="s">
        <v>989</v>
      </c>
      <c r="B4" s="38"/>
      <c r="C4" s="38"/>
      <c r="D4" s="38"/>
      <c r="E4" s="38"/>
      <c r="F4" s="38"/>
      <c r="G4" s="38"/>
      <c r="H4" s="88"/>
      <c r="I4" s="89" t="s">
        <v>989</v>
      </c>
      <c r="J4" s="38"/>
      <c r="K4" s="38"/>
      <c r="L4" s="38"/>
      <c r="M4" s="38"/>
      <c r="N4" s="38"/>
      <c r="O4" s="38"/>
      <c r="P4" s="38"/>
      <c r="R4" s="156" t="s">
        <v>59</v>
      </c>
    </row>
    <row r="5" spans="1:41">
      <c r="A5" s="91"/>
      <c r="B5" s="92"/>
      <c r="C5" s="92"/>
      <c r="D5" s="92"/>
      <c r="E5" s="92"/>
      <c r="F5" s="92"/>
      <c r="G5" s="92"/>
      <c r="H5" s="92"/>
      <c r="I5" s="93"/>
      <c r="L5" s="94"/>
      <c r="P5" s="91"/>
    </row>
    <row r="6" spans="1:41" s="100" customFormat="1" ht="12">
      <c r="A6" s="95"/>
      <c r="B6" s="96" t="s">
        <v>685</v>
      </c>
      <c r="C6" s="96"/>
      <c r="D6" s="96"/>
      <c r="E6" s="96"/>
      <c r="F6" s="96"/>
      <c r="G6" s="96"/>
      <c r="H6" s="97"/>
      <c r="I6" s="95"/>
      <c r="J6" s="96" t="s">
        <v>685</v>
      </c>
      <c r="K6" s="96"/>
      <c r="L6" s="96"/>
      <c r="M6" s="96"/>
      <c r="N6" s="96"/>
      <c r="O6" s="96"/>
      <c r="P6" s="97"/>
      <c r="Q6" s="158"/>
      <c r="R6" s="159"/>
    </row>
    <row r="7" spans="1:41" s="100" customFormat="1" ht="12">
      <c r="A7" s="95"/>
      <c r="B7" s="96" t="s">
        <v>686</v>
      </c>
      <c r="C7" s="96"/>
      <c r="D7" s="647" t="s">
        <v>687</v>
      </c>
      <c r="E7" s="648"/>
      <c r="F7" s="648"/>
      <c r="G7" s="648"/>
      <c r="H7" s="101" t="s">
        <v>59</v>
      </c>
      <c r="I7" s="95"/>
      <c r="J7" s="96" t="s">
        <v>686</v>
      </c>
      <c r="K7" s="96"/>
      <c r="L7" s="647" t="s">
        <v>687</v>
      </c>
      <c r="M7" s="648"/>
      <c r="N7" s="648"/>
      <c r="O7" s="648"/>
      <c r="P7" s="101" t="s">
        <v>59</v>
      </c>
      <c r="Q7" s="158"/>
      <c r="R7" s="159"/>
    </row>
    <row r="8" spans="1:41" s="100" customFormat="1" ht="40.5" customHeight="1">
      <c r="A8" s="95"/>
      <c r="B8" s="102" t="s">
        <v>688</v>
      </c>
      <c r="C8" s="103" t="s">
        <v>689</v>
      </c>
      <c r="D8" s="104" t="s">
        <v>690</v>
      </c>
      <c r="E8" s="105" t="s">
        <v>9</v>
      </c>
      <c r="F8" s="102" t="s">
        <v>691</v>
      </c>
      <c r="G8" s="106" t="s">
        <v>692</v>
      </c>
      <c r="H8" s="107" t="s">
        <v>693</v>
      </c>
      <c r="I8" s="95"/>
      <c r="J8" s="102" t="s">
        <v>688</v>
      </c>
      <c r="K8" s="103" t="s">
        <v>689</v>
      </c>
      <c r="L8" s="104" t="s">
        <v>690</v>
      </c>
      <c r="M8" s="105" t="s">
        <v>9</v>
      </c>
      <c r="N8" s="102" t="s">
        <v>691</v>
      </c>
      <c r="O8" s="106" t="s">
        <v>692</v>
      </c>
      <c r="P8" s="107" t="s">
        <v>693</v>
      </c>
      <c r="Q8" s="108" t="s">
        <v>694</v>
      </c>
      <c r="R8" s="108" t="s">
        <v>694</v>
      </c>
      <c r="S8" s="109"/>
    </row>
    <row r="9" spans="1:41" ht="15.75" customHeight="1">
      <c r="A9" s="110" t="s">
        <v>653</v>
      </c>
      <c r="B9" s="111">
        <f>('Pivot Table for Data Exchange'!$J$6)*100</f>
        <v>90.732045837275621</v>
      </c>
      <c r="C9" s="111">
        <f>('Pivot Table for Data Exchange'!$J$9)*100</f>
        <v>0.51395233643143101</v>
      </c>
      <c r="D9" s="173">
        <f>SUM(E9:G9)</f>
        <v>8.7519470132202297</v>
      </c>
      <c r="E9" s="111">
        <f>('Pivot Table for Data Exchange'!$J$12)*100</f>
        <v>8.5196286018771641</v>
      </c>
      <c r="F9" s="111">
        <f>('Pivot Table for Data Exchange'!$J$15)*100</f>
        <v>7.1202386322915118E-2</v>
      </c>
      <c r="G9" s="113">
        <f>('Pivot Table for Data Exchange'!$J$18)*100</f>
        <v>0.16111602502015118</v>
      </c>
      <c r="H9" s="120">
        <f>('Pivot Table for Data Exchange'!$J$21)*100</f>
        <v>2.0548130727207686E-3</v>
      </c>
      <c r="I9" s="115" t="s">
        <v>653</v>
      </c>
      <c r="J9" s="111">
        <f>('Pivot Table for Data Exchange'!$J$24)*100</f>
        <v>74.16304362806369</v>
      </c>
      <c r="K9" s="111">
        <f>('Pivot Table for Data Exchange'!$J$27)*100</f>
        <v>1.9877680704019745</v>
      </c>
      <c r="L9" s="173">
        <f>SUM(M9:O9)</f>
        <v>23.848552215751816</v>
      </c>
      <c r="M9" s="111">
        <f>('Pivot Table for Data Exchange'!$J$30)*100</f>
        <v>21.35509594823958</v>
      </c>
      <c r="N9" s="111">
        <f>('Pivot Table for Data Exchange'!$J$33)*100</f>
        <v>0.30065654654186663</v>
      </c>
      <c r="O9" s="113">
        <f>('Pivot Table for Data Exchange'!$J$36)*100</f>
        <v>2.19279972097037</v>
      </c>
      <c r="P9" s="111">
        <f>('Pivot Table for Data Exchange'!$J$39)*100</f>
        <v>6.3608578252863184E-4</v>
      </c>
      <c r="Q9" s="160">
        <f>SUM(B9,C9,D9,H9)</f>
        <v>100</v>
      </c>
      <c r="R9" s="160">
        <f>SUM(J9,K9,L9,P9)</f>
        <v>100</v>
      </c>
      <c r="S9" s="116"/>
      <c r="T9" s="100"/>
      <c r="U9" s="100"/>
      <c r="V9" s="100"/>
      <c r="W9" s="100"/>
      <c r="X9" s="100"/>
      <c r="Y9" s="100"/>
      <c r="Z9" s="100"/>
      <c r="AA9" s="100"/>
      <c r="AB9" s="100"/>
      <c r="AC9" s="100"/>
      <c r="AD9" s="100"/>
      <c r="AE9" s="100"/>
      <c r="AF9" s="100"/>
      <c r="AG9" s="116"/>
      <c r="AH9" s="116"/>
      <c r="AI9" s="116"/>
      <c r="AJ9" s="116"/>
      <c r="AK9" s="116"/>
      <c r="AL9" s="116"/>
      <c r="AM9" s="116"/>
      <c r="AN9" s="116"/>
      <c r="AO9" s="116"/>
    </row>
    <row r="10" spans="1:41" ht="15.75" customHeight="1">
      <c r="A10" s="118" t="s">
        <v>654</v>
      </c>
      <c r="B10" s="111">
        <f>('Pivot Table for Data Exchange'!$J$42)*100</f>
        <v>85.800303867417796</v>
      </c>
      <c r="C10" s="111">
        <f>('Pivot Table for Data Exchange'!$J$45)*100</f>
        <v>4.143770482094725</v>
      </c>
      <c r="D10" s="173">
        <f t="shared" ref="D10:D26" si="0">SUM(E10:G10)</f>
        <v>10.024375428771183</v>
      </c>
      <c r="E10" s="111">
        <f>('Pivot Table for Data Exchange'!$J$48)*100</f>
        <v>8.7371054191436475</v>
      </c>
      <c r="F10" s="111">
        <f>('Pivot Table for Data Exchange'!$J$51)*100</f>
        <v>0.75243610162944841</v>
      </c>
      <c r="G10" s="119">
        <f>('Pivot Table for Data Exchange'!$J$54)*100</f>
        <v>0.53483390799808606</v>
      </c>
      <c r="H10" s="111">
        <f>('Pivot Table for Data Exchange'!$J$57)*100</f>
        <v>3.1550221716300619E-2</v>
      </c>
      <c r="I10" s="118" t="s">
        <v>654</v>
      </c>
      <c r="J10" s="111">
        <f>('Pivot Table for Data Exchange'!$J$60)*100</f>
        <v>63.921047881803887</v>
      </c>
      <c r="K10" s="111">
        <f>('Pivot Table for Data Exchange'!$J$63)*100</f>
        <v>9.4818176348743872</v>
      </c>
      <c r="L10" s="173">
        <f t="shared" ref="L10:L26" si="1">SUM(M10:O10)</f>
        <v>26.575217664096812</v>
      </c>
      <c r="M10" s="111">
        <f>('Pivot Table for Data Exchange'!$J$66)*100</f>
        <v>21.725154492088457</v>
      </c>
      <c r="N10" s="111">
        <f>('Pivot Table for Data Exchange'!$J$69)*100</f>
        <v>0.39321352138823706</v>
      </c>
      <c r="O10" s="119">
        <f>('Pivot Table for Data Exchange'!$J$72)*100</f>
        <v>4.456849650620117</v>
      </c>
      <c r="P10" s="120">
        <f>('Pivot Table for Data Exchange'!$J$75)*100</f>
        <v>2.1916819224918133E-2</v>
      </c>
      <c r="Q10" s="160">
        <f>SUM(B10,C10,D10,H10)</f>
        <v>100</v>
      </c>
      <c r="R10" s="160">
        <f t="shared" ref="R10:R74" si="2">SUM(J10,K10,L10,P10)</f>
        <v>100</v>
      </c>
      <c r="S10" s="116"/>
      <c r="T10" s="100"/>
      <c r="U10" s="100"/>
      <c r="V10" s="100"/>
      <c r="W10" s="100"/>
      <c r="X10" s="100"/>
      <c r="Y10" s="100"/>
      <c r="Z10" s="100"/>
      <c r="AA10" s="100"/>
      <c r="AB10" s="100"/>
      <c r="AC10" s="100"/>
      <c r="AD10" s="100"/>
      <c r="AE10" s="100"/>
      <c r="AF10" s="100"/>
      <c r="AG10" s="116"/>
      <c r="AH10" s="116"/>
      <c r="AI10" s="116"/>
      <c r="AJ10" s="116"/>
      <c r="AK10" s="116"/>
      <c r="AL10" s="116"/>
      <c r="AM10" s="116"/>
      <c r="AN10" s="116"/>
      <c r="AO10" s="116"/>
    </row>
    <row r="11" spans="1:41" ht="15.75" customHeight="1">
      <c r="A11" s="118" t="s">
        <v>655</v>
      </c>
      <c r="B11" s="111">
        <f>('Pivot Table for Data Exchange'!$J$78)*100</f>
        <v>0</v>
      </c>
      <c r="C11" s="111">
        <f>('Pivot Table for Data Exchange'!$J$81)*100</f>
        <v>0</v>
      </c>
      <c r="D11" s="173">
        <f t="shared" si="0"/>
        <v>0</v>
      </c>
      <c r="E11" s="111">
        <f>('Pivot Table for Data Exchange'!$J$84)*100</f>
        <v>0</v>
      </c>
      <c r="F11" s="111">
        <f>('Pivot Table for Data Exchange'!$J$87)*100</f>
        <v>0</v>
      </c>
      <c r="G11" s="119">
        <f>('Pivot Table for Data Exchange'!$J$90)*100</f>
        <v>0</v>
      </c>
      <c r="H11" s="111">
        <f>('Pivot Table for Data Exchange'!$J$93)*100</f>
        <v>0</v>
      </c>
      <c r="I11" s="118" t="s">
        <v>655</v>
      </c>
      <c r="J11" s="111">
        <f>('Pivot Table for Data Exchange'!$J$96)*100</f>
        <v>0</v>
      </c>
      <c r="K11" s="111">
        <f>('Pivot Table for Data Exchange'!$J$99)*100</f>
        <v>0</v>
      </c>
      <c r="L11" s="173">
        <f t="shared" si="1"/>
        <v>0</v>
      </c>
      <c r="M11" s="111">
        <f>('Pivot Table for Data Exchange'!$J$102)*100</f>
        <v>0</v>
      </c>
      <c r="N11" s="111">
        <f>('Pivot Table for Data Exchange'!$J$105)*100</f>
        <v>0</v>
      </c>
      <c r="O11" s="119">
        <f>('Pivot Table for Data Exchange'!$J$108)*100</f>
        <v>0</v>
      </c>
      <c r="P11" s="111">
        <f>('Pivot Table for Data Exchange'!$J$111)*100</f>
        <v>0</v>
      </c>
      <c r="Q11" s="160">
        <f t="shared" ref="Q11:Q74" si="3">SUM(B11,C11,D11,H11)</f>
        <v>0</v>
      </c>
      <c r="R11" s="160">
        <f t="shared" si="2"/>
        <v>0</v>
      </c>
      <c r="S11" s="116"/>
      <c r="T11" s="100"/>
      <c r="U11" s="100"/>
      <c r="V11" s="100"/>
      <c r="W11" s="100"/>
      <c r="X11" s="100"/>
      <c r="Y11" s="100"/>
      <c r="Z11" s="100"/>
      <c r="AA11" s="100"/>
      <c r="AB11" s="100"/>
      <c r="AC11" s="100"/>
      <c r="AD11" s="100"/>
      <c r="AE11" s="100"/>
      <c r="AF11" s="100"/>
      <c r="AG11" s="116"/>
      <c r="AH11" s="116"/>
      <c r="AI11" s="116"/>
      <c r="AJ11" s="116"/>
      <c r="AK11" s="116"/>
      <c r="AL11" s="116"/>
      <c r="AM11" s="116"/>
      <c r="AN11" s="116"/>
      <c r="AO11" s="116"/>
    </row>
    <row r="12" spans="1:41" ht="15.75" customHeight="1">
      <c r="A12" s="118" t="s">
        <v>695</v>
      </c>
      <c r="B12" s="111">
        <f>('Pivot Table for Data Exchange'!$J$114)*100</f>
        <v>74.848283886690638</v>
      </c>
      <c r="C12" s="111">
        <f>('Pivot Table for Data Exchange'!$J$117)*100</f>
        <v>8.4052119245015273</v>
      </c>
      <c r="D12" s="173">
        <f t="shared" si="0"/>
        <v>16.641644373468932</v>
      </c>
      <c r="E12" s="111">
        <f>('Pivot Table for Data Exchange'!$J$120)*100</f>
        <v>11.780354652843419</v>
      </c>
      <c r="F12" s="111">
        <f>('Pivot Table for Data Exchange'!$J$123)*100</f>
        <v>1.0450983583876461</v>
      </c>
      <c r="G12" s="119">
        <f>('Pivot Table for Data Exchange'!$J$126)*100</f>
        <v>3.8161913622378676</v>
      </c>
      <c r="H12" s="111">
        <f>('Pivot Table for Data Exchange'!$J$129)*100</f>
        <v>0.10485981533890153</v>
      </c>
      <c r="I12" s="118" t="s">
        <v>695</v>
      </c>
      <c r="J12" s="111">
        <f>('Pivot Table for Data Exchange'!$J$132)*100</f>
        <v>69.710021947728563</v>
      </c>
      <c r="K12" s="111">
        <f>('Pivot Table for Data Exchange'!$J$135)*100</f>
        <v>10.710274566435089</v>
      </c>
      <c r="L12" s="173">
        <f t="shared" si="1"/>
        <v>19.579458779307583</v>
      </c>
      <c r="M12" s="111">
        <f>('Pivot Table for Data Exchange'!$J$138)*100</f>
        <v>16.596730900227193</v>
      </c>
      <c r="N12" s="111">
        <f>('Pivot Table for Data Exchange'!$J$141)*100</f>
        <v>0.36265507562532917</v>
      </c>
      <c r="O12" s="119">
        <f>('Pivot Table for Data Exchange'!$J$144)*100</f>
        <v>2.6200728034550602</v>
      </c>
      <c r="P12" s="111">
        <f>('Pivot Table for Data Exchange'!$J$147)*100</f>
        <v>2.447065287620305E-4</v>
      </c>
      <c r="Q12" s="160">
        <f t="shared" si="3"/>
        <v>100</v>
      </c>
      <c r="R12" s="160">
        <f t="shared" si="2"/>
        <v>100</v>
      </c>
      <c r="S12" s="116"/>
      <c r="T12" s="100"/>
      <c r="U12" s="100"/>
      <c r="V12" s="100"/>
      <c r="W12" s="100"/>
      <c r="X12" s="100"/>
      <c r="Y12" s="100"/>
      <c r="Z12" s="100"/>
      <c r="AA12" s="100"/>
      <c r="AB12" s="100"/>
      <c r="AC12" s="100"/>
      <c r="AD12" s="100"/>
      <c r="AE12" s="100"/>
      <c r="AF12" s="100"/>
      <c r="AG12" s="116"/>
      <c r="AH12" s="116"/>
      <c r="AI12" s="116"/>
      <c r="AJ12" s="116"/>
      <c r="AK12" s="116"/>
      <c r="AL12" s="116"/>
      <c r="AM12" s="116"/>
      <c r="AN12" s="116"/>
      <c r="AO12" s="116"/>
    </row>
    <row r="13" spans="1:41" ht="9.75" customHeight="1">
      <c r="A13" s="118"/>
      <c r="B13" s="111"/>
      <c r="C13" s="111"/>
      <c r="D13" s="173"/>
      <c r="E13" s="111"/>
      <c r="F13" s="111"/>
      <c r="G13" s="119"/>
      <c r="H13" s="111"/>
      <c r="I13" s="118"/>
      <c r="J13" s="111"/>
      <c r="K13" s="111"/>
      <c r="L13" s="173"/>
      <c r="M13" s="111"/>
      <c r="N13" s="111"/>
      <c r="O13" s="119"/>
      <c r="P13" s="111"/>
      <c r="Q13" s="160">
        <f t="shared" si="3"/>
        <v>0</v>
      </c>
      <c r="R13" s="160">
        <f t="shared" si="2"/>
        <v>0</v>
      </c>
      <c r="S13" s="116"/>
      <c r="T13" s="100"/>
      <c r="U13" s="100"/>
      <c r="V13" s="100"/>
      <c r="W13" s="100"/>
      <c r="X13" s="100"/>
      <c r="Y13" s="100"/>
      <c r="Z13" s="100"/>
      <c r="AA13" s="100"/>
      <c r="AB13" s="100"/>
      <c r="AC13" s="100"/>
      <c r="AD13" s="100"/>
      <c r="AE13" s="100"/>
      <c r="AF13" s="100"/>
      <c r="AG13" s="116"/>
      <c r="AH13" s="116"/>
      <c r="AI13" s="116"/>
      <c r="AJ13" s="116"/>
      <c r="AK13" s="116"/>
      <c r="AL13" s="116"/>
      <c r="AM13" s="116"/>
      <c r="AN13" s="116"/>
      <c r="AO13" s="116"/>
    </row>
    <row r="14" spans="1:41" ht="15.75" customHeight="1">
      <c r="A14" s="118" t="s">
        <v>657</v>
      </c>
      <c r="B14" s="111">
        <f>('Pivot Table for Data Exchange'!$J$150)*100</f>
        <v>0</v>
      </c>
      <c r="C14" s="111">
        <f>('Pivot Table for Data Exchange'!$J$153)*100</f>
        <v>0</v>
      </c>
      <c r="D14" s="173">
        <f t="shared" si="0"/>
        <v>0</v>
      </c>
      <c r="E14" s="111">
        <f>('Pivot Table for Data Exchange'!$J$156)*100</f>
        <v>0</v>
      </c>
      <c r="F14" s="111">
        <f>('Pivot Table for Data Exchange'!$J$159)*100</f>
        <v>0</v>
      </c>
      <c r="G14" s="119">
        <f>('Pivot Table for Data Exchange'!$J$162)*100</f>
        <v>0</v>
      </c>
      <c r="H14" s="120">
        <f>('Pivot Table for Data Exchange'!$J$165)*100</f>
        <v>0</v>
      </c>
      <c r="I14" s="118" t="s">
        <v>657</v>
      </c>
      <c r="J14" s="111">
        <f>('Pivot Table for Data Exchange'!$J$168)*100</f>
        <v>0</v>
      </c>
      <c r="K14" s="111">
        <f>('Pivot Table for Data Exchange'!$J$171)*100</f>
        <v>0</v>
      </c>
      <c r="L14" s="173">
        <f t="shared" si="1"/>
        <v>0</v>
      </c>
      <c r="M14" s="111">
        <f>('Pivot Table for Data Exchange'!$J$174)*100</f>
        <v>0</v>
      </c>
      <c r="N14" s="111">
        <f>('Pivot Table for Data Exchange'!$J$177)*100</f>
        <v>0</v>
      </c>
      <c r="O14" s="121">
        <f>('Pivot Table for Data Exchange'!$J$180)*100</f>
        <v>0</v>
      </c>
      <c r="P14" s="114">
        <f>('Pivot Table for Data Exchange'!$J$183)*100</f>
        <v>0</v>
      </c>
      <c r="Q14" s="160">
        <f t="shared" si="3"/>
        <v>0</v>
      </c>
      <c r="R14" s="160">
        <f t="shared" si="2"/>
        <v>0</v>
      </c>
      <c r="S14" s="116"/>
      <c r="T14" s="100"/>
      <c r="U14" s="100"/>
      <c r="V14" s="100"/>
      <c r="W14" s="100"/>
      <c r="X14" s="100"/>
      <c r="Y14" s="100"/>
      <c r="Z14" s="100"/>
      <c r="AA14" s="100"/>
      <c r="AB14" s="100"/>
      <c r="AC14" s="100"/>
      <c r="AD14" s="100"/>
      <c r="AE14" s="100"/>
      <c r="AF14" s="100"/>
      <c r="AG14" s="116"/>
      <c r="AH14" s="116"/>
      <c r="AI14" s="116"/>
      <c r="AJ14" s="116"/>
      <c r="AK14" s="116"/>
      <c r="AL14" s="116"/>
      <c r="AM14" s="116"/>
      <c r="AN14" s="116"/>
      <c r="AO14" s="116"/>
    </row>
    <row r="15" spans="1:41" ht="15.75" customHeight="1">
      <c r="A15" s="118" t="s">
        <v>658</v>
      </c>
      <c r="B15" s="111">
        <f>('Pivot Table for Data Exchange'!$J$186)*100</f>
        <v>86.604230724206744</v>
      </c>
      <c r="C15" s="111">
        <f>('Pivot Table for Data Exchange'!$J$189)*100</f>
        <v>4.7659795191925296</v>
      </c>
      <c r="D15" s="173">
        <f t="shared" si="0"/>
        <v>8.6297897566007258</v>
      </c>
      <c r="E15" s="111">
        <f>('Pivot Table for Data Exchange'!$J$192)*100</f>
        <v>7.2718651598060307</v>
      </c>
      <c r="F15" s="111">
        <f>('Pivot Table for Data Exchange'!$J$195)*100</f>
        <v>1.1655401210906753</v>
      </c>
      <c r="G15" s="119">
        <f>('Pivot Table for Data Exchange'!$J$198)*100</f>
        <v>0.19238447570402037</v>
      </c>
      <c r="H15" s="111">
        <f>('Pivot Table for Data Exchange'!$J$201)*100</f>
        <v>0</v>
      </c>
      <c r="I15" s="118" t="s">
        <v>658</v>
      </c>
      <c r="J15" s="111">
        <f>('Pivot Table for Data Exchange'!$J$204)*100</f>
        <v>72.276696969020122</v>
      </c>
      <c r="K15" s="111">
        <f>('Pivot Table for Data Exchange'!$J$207)*100</f>
        <v>6.3899782065559023</v>
      </c>
      <c r="L15" s="173">
        <f t="shared" si="1"/>
        <v>21.333324824423972</v>
      </c>
      <c r="M15" s="111">
        <f>('Pivot Table for Data Exchange'!$J$210)*100</f>
        <v>20.111551801708377</v>
      </c>
      <c r="N15" s="111">
        <f>('Pivot Table for Data Exchange'!$J$213)*100</f>
        <v>1.1120080919728013</v>
      </c>
      <c r="O15" s="119">
        <f>('Pivot Table for Data Exchange'!$J$216)*100</f>
        <v>0.10976493074279588</v>
      </c>
      <c r="P15" s="111">
        <f>('Pivot Table for Data Exchange'!$J$219)*100</f>
        <v>0</v>
      </c>
      <c r="Q15" s="160">
        <f t="shared" si="3"/>
        <v>100</v>
      </c>
      <c r="R15" s="160">
        <f t="shared" si="2"/>
        <v>99.999999999999986</v>
      </c>
      <c r="S15" s="116"/>
      <c r="T15" s="100"/>
      <c r="U15" s="100"/>
      <c r="V15" s="100"/>
      <c r="W15" s="100"/>
      <c r="X15" s="100"/>
      <c r="Y15" s="100"/>
      <c r="Z15" s="100"/>
      <c r="AA15" s="100"/>
      <c r="AB15" s="100"/>
      <c r="AC15" s="100"/>
      <c r="AD15" s="100"/>
      <c r="AE15" s="100"/>
      <c r="AF15" s="100"/>
      <c r="AG15" s="116"/>
      <c r="AH15" s="116"/>
      <c r="AI15" s="116"/>
      <c r="AJ15" s="116"/>
      <c r="AK15" s="116"/>
      <c r="AL15" s="116"/>
      <c r="AM15" s="116"/>
      <c r="AN15" s="116"/>
      <c r="AO15" s="116"/>
    </row>
    <row r="16" spans="1:41" ht="15.75" customHeight="1">
      <c r="A16" s="118" t="s">
        <v>659</v>
      </c>
      <c r="B16" s="111">
        <f>('Pivot Table for Data Exchange'!$J$222)*100</f>
        <v>0</v>
      </c>
      <c r="C16" s="111">
        <f>('Pivot Table for Data Exchange'!$J$225)*100</f>
        <v>0</v>
      </c>
      <c r="D16" s="173">
        <f t="shared" si="0"/>
        <v>0</v>
      </c>
      <c r="E16" s="111">
        <f>('Pivot Table for Data Exchange'!$J$228)*100</f>
        <v>0</v>
      </c>
      <c r="F16" s="111">
        <f>('Pivot Table for Data Exchange'!$J$231)*100</f>
        <v>0</v>
      </c>
      <c r="G16" s="119">
        <f>('Pivot Table for Data Exchange'!$J$234)*100</f>
        <v>0</v>
      </c>
      <c r="H16" s="111">
        <f>('Pivot Table for Data Exchange'!$J$237)*100</f>
        <v>0</v>
      </c>
      <c r="I16" s="118" t="s">
        <v>659</v>
      </c>
      <c r="J16" s="111">
        <f>('Pivot Table for Data Exchange'!$J$240)*100</f>
        <v>0</v>
      </c>
      <c r="K16" s="111">
        <f>('Pivot Table for Data Exchange'!$J$243)*100</f>
        <v>0</v>
      </c>
      <c r="L16" s="173">
        <f t="shared" si="1"/>
        <v>0</v>
      </c>
      <c r="M16" s="111">
        <f>('Pivot Table for Data Exchange'!$J$246)*100</f>
        <v>0</v>
      </c>
      <c r="N16" s="111">
        <f>('Pivot Table for Data Exchange'!$J$249)*100</f>
        <v>0</v>
      </c>
      <c r="O16" s="121">
        <f>('Pivot Table for Data Exchange'!$J$252)*100</f>
        <v>0</v>
      </c>
      <c r="P16" s="111">
        <f>('Pivot Table for Data Exchange'!$J$255)*100</f>
        <v>0</v>
      </c>
      <c r="Q16" s="160">
        <f t="shared" si="3"/>
        <v>0</v>
      </c>
      <c r="R16" s="160">
        <f t="shared" si="2"/>
        <v>0</v>
      </c>
      <c r="S16" s="116"/>
      <c r="T16" s="100"/>
      <c r="U16" s="100"/>
      <c r="V16" s="100"/>
      <c r="W16" s="100"/>
      <c r="X16" s="100"/>
      <c r="Y16" s="100"/>
      <c r="Z16" s="100"/>
      <c r="AA16" s="100"/>
      <c r="AB16" s="100"/>
      <c r="AC16" s="100"/>
      <c r="AD16" s="100"/>
      <c r="AE16" s="100"/>
      <c r="AF16" s="100"/>
      <c r="AG16" s="116"/>
      <c r="AH16" s="116"/>
      <c r="AI16" s="116"/>
      <c r="AJ16" s="116"/>
      <c r="AK16" s="116"/>
      <c r="AL16" s="116"/>
      <c r="AM16" s="116"/>
      <c r="AN16" s="116"/>
      <c r="AO16" s="116"/>
    </row>
    <row r="17" spans="1:41" ht="15.75" customHeight="1">
      <c r="A17" s="118" t="s">
        <v>696</v>
      </c>
      <c r="B17" s="111">
        <f>('Pivot Table for Data Exchange'!$J$258)*100</f>
        <v>82.354633002838995</v>
      </c>
      <c r="C17" s="111">
        <f>('Pivot Table for Data Exchange'!$J$261)*100</f>
        <v>3.2614066592307158</v>
      </c>
      <c r="D17" s="173">
        <f t="shared" si="0"/>
        <v>14.38396033793029</v>
      </c>
      <c r="E17" s="111">
        <f>('Pivot Table for Data Exchange'!$J$264)*100</f>
        <v>14.322589690143516</v>
      </c>
      <c r="F17" s="120">
        <f>('Pivot Table for Data Exchange'!$J$267)*100</f>
        <v>6.1370647786773765E-2</v>
      </c>
      <c r="G17" s="121">
        <f>('Pivot Table for Data Exchange'!$J$270)*100</f>
        <v>0</v>
      </c>
      <c r="H17" s="111">
        <f>('Pivot Table for Data Exchange'!$J$273)*100</f>
        <v>0</v>
      </c>
      <c r="I17" s="118" t="s">
        <v>696</v>
      </c>
      <c r="J17" s="111">
        <f>('Pivot Table for Data Exchange'!$J$276)*100</f>
        <v>52.515351311582101</v>
      </c>
      <c r="K17" s="111">
        <f>('Pivot Table for Data Exchange'!$J$279)*100</f>
        <v>12.489883697897506</v>
      </c>
      <c r="L17" s="173">
        <f t="shared" si="1"/>
        <v>34.994764990520387</v>
      </c>
      <c r="M17" s="111">
        <f>('Pivot Table for Data Exchange'!$J$282)*100</f>
        <v>34.574077742248882</v>
      </c>
      <c r="N17" s="111">
        <f>('Pivot Table for Data Exchange'!$J$285)*100</f>
        <v>0.42068724827150361</v>
      </c>
      <c r="O17" s="119">
        <f>('Pivot Table for Data Exchange'!$J$288)*100</f>
        <v>0</v>
      </c>
      <c r="P17" s="111">
        <f>('Pivot Table for Data Exchange'!$J$291)*100</f>
        <v>0</v>
      </c>
      <c r="Q17" s="160">
        <f t="shared" si="3"/>
        <v>100</v>
      </c>
      <c r="R17" s="160">
        <f>SUM(J17,K17,L17,P17)</f>
        <v>100</v>
      </c>
      <c r="S17" s="116"/>
      <c r="T17" s="100"/>
      <c r="U17" s="100"/>
      <c r="V17" s="100"/>
      <c r="W17" s="100"/>
      <c r="X17" s="100"/>
      <c r="Y17" s="100"/>
      <c r="Z17" s="100"/>
      <c r="AA17" s="100"/>
      <c r="AB17" s="100"/>
      <c r="AC17" s="100"/>
      <c r="AD17" s="100"/>
      <c r="AE17" s="100"/>
      <c r="AF17" s="100"/>
      <c r="AG17" s="116"/>
      <c r="AH17" s="116"/>
      <c r="AI17" s="116"/>
      <c r="AJ17" s="116"/>
      <c r="AK17" s="116"/>
      <c r="AL17" s="116"/>
      <c r="AM17" s="116"/>
      <c r="AN17" s="116"/>
      <c r="AO17" s="116"/>
    </row>
    <row r="18" spans="1:41" ht="11.25" customHeight="1">
      <c r="A18" s="118"/>
      <c r="B18" s="111"/>
      <c r="C18" s="111"/>
      <c r="D18" s="173"/>
      <c r="E18" s="111"/>
      <c r="F18" s="111"/>
      <c r="G18" s="119"/>
      <c r="H18" s="111"/>
      <c r="I18" s="118"/>
      <c r="J18" s="111"/>
      <c r="K18" s="111"/>
      <c r="L18" s="173"/>
      <c r="M18" s="111"/>
      <c r="N18" s="111"/>
      <c r="O18" s="119"/>
      <c r="P18" s="111"/>
      <c r="Q18" s="160">
        <f t="shared" si="3"/>
        <v>0</v>
      </c>
      <c r="R18" s="160">
        <f t="shared" si="2"/>
        <v>0</v>
      </c>
      <c r="S18" s="116"/>
      <c r="T18" s="100"/>
      <c r="U18" s="100"/>
      <c r="V18" s="100"/>
      <c r="W18" s="100"/>
      <c r="X18" s="100"/>
      <c r="Y18" s="100"/>
      <c r="Z18" s="100"/>
      <c r="AA18" s="100"/>
      <c r="AB18" s="100"/>
      <c r="AC18" s="100"/>
      <c r="AD18" s="100"/>
      <c r="AE18" s="100"/>
      <c r="AF18" s="100"/>
      <c r="AG18" s="116"/>
      <c r="AH18" s="116"/>
      <c r="AI18" s="116"/>
      <c r="AJ18" s="116"/>
      <c r="AK18" s="116"/>
      <c r="AL18" s="116"/>
      <c r="AM18" s="116"/>
      <c r="AN18" s="116"/>
      <c r="AO18" s="116"/>
    </row>
    <row r="19" spans="1:41" ht="15.75" customHeight="1">
      <c r="A19" s="118" t="s">
        <v>661</v>
      </c>
      <c r="B19" s="111">
        <f>('Pivot Table for Data Exchange'!$J$294)*100</f>
        <v>87.644671653920369</v>
      </c>
      <c r="C19" s="111">
        <f>('Pivot Table for Data Exchange'!$J$297)*100</f>
        <v>5.3786722367794342</v>
      </c>
      <c r="D19" s="173">
        <f t="shared" si="0"/>
        <v>6.7944805557445642</v>
      </c>
      <c r="E19" s="111">
        <f>('Pivot Table for Data Exchange'!$J$300)*100</f>
        <v>5.9344424773307622</v>
      </c>
      <c r="F19" s="111">
        <f>('Pivot Table for Data Exchange'!$J$303)*100</f>
        <v>0.6679770297039872</v>
      </c>
      <c r="G19" s="119">
        <f>('Pivot Table for Data Exchange'!$J$306)*100</f>
        <v>0.1920610487098145</v>
      </c>
      <c r="H19" s="111">
        <f>('Pivot Table for Data Exchange'!$J$309)*100</f>
        <v>0.18217555355563286</v>
      </c>
      <c r="I19" s="118" t="s">
        <v>661</v>
      </c>
      <c r="J19" s="111">
        <f>('Pivot Table for Data Exchange'!$J$312)*100</f>
        <v>73.932069700659525</v>
      </c>
      <c r="K19" s="111">
        <f>('Pivot Table for Data Exchange'!$J$315)*100</f>
        <v>9.334701968590652</v>
      </c>
      <c r="L19" s="173">
        <f t="shared" si="1"/>
        <v>16.730734865706129</v>
      </c>
      <c r="M19" s="111">
        <f>('Pivot Table for Data Exchange'!$J$318)*100</f>
        <v>15.977292845002058</v>
      </c>
      <c r="N19" s="111">
        <f>('Pivot Table for Data Exchange'!$J$321)*100</f>
        <v>0.63500243112841759</v>
      </c>
      <c r="O19" s="119">
        <f>('Pivot Table for Data Exchange'!$J$324)*100</f>
        <v>0.11843958957565381</v>
      </c>
      <c r="P19" s="114">
        <f>('Pivot Table for Data Exchange'!$J$327)*100</f>
        <v>2.4934650436979748E-3</v>
      </c>
      <c r="Q19" s="160">
        <f t="shared" si="3"/>
        <v>100.00000000000001</v>
      </c>
      <c r="R19" s="160">
        <f t="shared" si="2"/>
        <v>100</v>
      </c>
      <c r="S19" s="116"/>
      <c r="T19" s="100"/>
      <c r="U19" s="100"/>
      <c r="V19" s="100"/>
      <c r="W19" s="100"/>
      <c r="X19" s="100"/>
      <c r="Y19" s="100"/>
      <c r="Z19" s="100"/>
      <c r="AA19" s="100"/>
      <c r="AB19" s="100"/>
      <c r="AC19" s="100"/>
      <c r="AD19" s="100"/>
      <c r="AE19" s="100"/>
      <c r="AF19" s="100"/>
      <c r="AG19" s="116"/>
      <c r="AH19" s="116"/>
      <c r="AI19" s="116"/>
      <c r="AJ19" s="116"/>
      <c r="AK19" s="116"/>
      <c r="AL19" s="116"/>
      <c r="AM19" s="116"/>
      <c r="AN19" s="116"/>
      <c r="AO19" s="116"/>
    </row>
    <row r="20" spans="1:41" ht="15.75" customHeight="1">
      <c r="A20" s="118" t="s">
        <v>662</v>
      </c>
      <c r="B20" s="111">
        <f>('Pivot Table for Data Exchange'!$J$330)*100</f>
        <v>90.765118823283615</v>
      </c>
      <c r="C20" s="111">
        <f>('Pivot Table for Data Exchange'!$J$333)*100</f>
        <v>1.3170957121523836</v>
      </c>
      <c r="D20" s="173">
        <f t="shared" si="0"/>
        <v>7.9177854645639947</v>
      </c>
      <c r="E20" s="111">
        <f>('Pivot Table for Data Exchange'!$J$336)*100</f>
        <v>7.7100364018842109</v>
      </c>
      <c r="F20" s="120">
        <f>('Pivot Table for Data Exchange'!$J$339)*100</f>
        <v>1.4758355091786883E-2</v>
      </c>
      <c r="G20" s="119">
        <f>('Pivot Table for Data Exchange'!$J$342)*100</f>
        <v>0.19299070758799694</v>
      </c>
      <c r="H20" s="111">
        <f>('Pivot Table for Data Exchange'!$J$345)*100</f>
        <v>0</v>
      </c>
      <c r="I20" s="118" t="s">
        <v>662</v>
      </c>
      <c r="J20" s="111">
        <f>('Pivot Table for Data Exchange'!$J$348)*100</f>
        <v>74.880842956589461</v>
      </c>
      <c r="K20" s="111">
        <f>('Pivot Table for Data Exchange'!$J$351)*100</f>
        <v>7.3926537633957432</v>
      </c>
      <c r="L20" s="173">
        <f t="shared" si="1"/>
        <v>17.726503280014793</v>
      </c>
      <c r="M20" s="111">
        <f>('Pivot Table for Data Exchange'!$J$354)*100</f>
        <v>17.379423561822019</v>
      </c>
      <c r="N20" s="111">
        <f>('Pivot Table for Data Exchange'!$J$357)*100</f>
        <v>0.31272577555336728</v>
      </c>
      <c r="O20" s="121">
        <f>('Pivot Table for Data Exchange'!$J$360)*100</f>
        <v>3.4353942639405548E-2</v>
      </c>
      <c r="P20" s="111">
        <f>('Pivot Table for Data Exchange'!$J$363)*100</f>
        <v>0</v>
      </c>
      <c r="Q20" s="160">
        <f t="shared" si="3"/>
        <v>99.999999999999986</v>
      </c>
      <c r="R20" s="160">
        <f t="shared" si="2"/>
        <v>100</v>
      </c>
      <c r="S20" s="116"/>
      <c r="T20" s="100"/>
      <c r="U20" s="100"/>
      <c r="V20" s="100"/>
      <c r="W20" s="100"/>
      <c r="X20" s="100"/>
      <c r="Y20" s="100"/>
      <c r="Z20" s="100"/>
      <c r="AA20" s="100"/>
      <c r="AB20" s="100"/>
      <c r="AC20" s="100"/>
      <c r="AD20" s="100"/>
      <c r="AE20" s="100"/>
      <c r="AF20" s="100"/>
      <c r="AG20" s="116"/>
      <c r="AH20" s="116"/>
      <c r="AI20" s="116"/>
      <c r="AJ20" s="116"/>
      <c r="AK20" s="116"/>
      <c r="AL20" s="116"/>
      <c r="AM20" s="116"/>
      <c r="AN20" s="116"/>
      <c r="AO20" s="116"/>
    </row>
    <row r="21" spans="1:41" ht="15.75" customHeight="1">
      <c r="A21" s="118" t="s">
        <v>663</v>
      </c>
      <c r="B21" s="111">
        <f>('Pivot Table for Data Exchange'!$J$366)*100</f>
        <v>89.792964020869306</v>
      </c>
      <c r="C21" s="111">
        <f>('Pivot Table for Data Exchange'!$J$369)*100</f>
        <v>0.31401017931633923</v>
      </c>
      <c r="D21" s="173">
        <f t="shared" si="0"/>
        <v>9.8566492376880426</v>
      </c>
      <c r="E21" s="111">
        <f>('Pivot Table for Data Exchange'!$J$372)*100</f>
        <v>7.798312949487733</v>
      </c>
      <c r="F21" s="111">
        <f>('Pivot Table for Data Exchange'!$J$375)*100</f>
        <v>1.4957675082973103</v>
      </c>
      <c r="G21" s="119">
        <f>('Pivot Table for Data Exchange'!$J$378)*100</f>
        <v>0.56256877990299881</v>
      </c>
      <c r="H21" s="111">
        <f>('Pivot Table for Data Exchange'!$J$381)*100</f>
        <v>3.6376562126314987E-2</v>
      </c>
      <c r="I21" s="118" t="s">
        <v>663</v>
      </c>
      <c r="J21" s="111">
        <f>('Pivot Table for Data Exchange'!$J$384)*100</f>
        <v>77.269818756852146</v>
      </c>
      <c r="K21" s="111">
        <f>('Pivot Table for Data Exchange'!$J$387)*100</f>
        <v>5.3802356527728534</v>
      </c>
      <c r="L21" s="173">
        <f t="shared" si="1"/>
        <v>17.235012899360534</v>
      </c>
      <c r="M21" s="111">
        <f>('Pivot Table for Data Exchange'!$J$390)*100</f>
        <v>11.782638642653071</v>
      </c>
      <c r="N21" s="111">
        <f>('Pivot Table for Data Exchange'!$J$393)*100</f>
        <v>3.6627662913013883</v>
      </c>
      <c r="O21" s="119">
        <f>('Pivot Table for Data Exchange'!$J$396)*100</f>
        <v>1.7896079654060753</v>
      </c>
      <c r="P21" s="111">
        <f>('Pivot Table for Data Exchange'!$J$399)*100</f>
        <v>0.11493269101446441</v>
      </c>
      <c r="Q21" s="160">
        <f t="shared" si="3"/>
        <v>100.00000000000001</v>
      </c>
      <c r="R21" s="160">
        <f t="shared" si="2"/>
        <v>99.999999999999986</v>
      </c>
      <c r="S21" s="116"/>
      <c r="T21" s="100"/>
      <c r="U21" s="100"/>
      <c r="V21" s="100"/>
      <c r="W21" s="100"/>
      <c r="X21" s="100"/>
      <c r="Y21" s="100"/>
      <c r="Z21" s="100"/>
      <c r="AA21" s="100"/>
      <c r="AB21" s="100"/>
      <c r="AC21" s="100"/>
      <c r="AD21" s="100"/>
      <c r="AE21" s="100"/>
      <c r="AF21" s="100"/>
      <c r="AG21" s="116"/>
      <c r="AH21" s="116"/>
      <c r="AI21" s="116"/>
      <c r="AJ21" s="116"/>
      <c r="AK21" s="116"/>
      <c r="AL21" s="116"/>
      <c r="AM21" s="116"/>
      <c r="AN21" s="116"/>
      <c r="AO21" s="116"/>
    </row>
    <row r="22" spans="1:41" ht="15.75" customHeight="1">
      <c r="A22" s="118" t="s">
        <v>664</v>
      </c>
      <c r="B22" s="111">
        <f>('Pivot Table for Data Exchange'!$J$402)*100</f>
        <v>95.607355145993836</v>
      </c>
      <c r="C22" s="111">
        <f>('Pivot Table for Data Exchange'!$J$405)*100</f>
        <v>1.7960348714164232</v>
      </c>
      <c r="D22" s="173">
        <f>SUM(E22:G22)</f>
        <v>2.5966099825897393</v>
      </c>
      <c r="E22" s="111">
        <f>('Pivot Table for Data Exchange'!$J$408)*100</f>
        <v>2.3191061177663124</v>
      </c>
      <c r="F22" s="111">
        <f>('Pivot Table for Data Exchange'!$J$411)*100</f>
        <v>0.11977241544572177</v>
      </c>
      <c r="G22" s="119">
        <f>('Pivot Table for Data Exchange'!$J$414)*100</f>
        <v>0.15773144937770511</v>
      </c>
      <c r="H22" s="111">
        <f>('Pivot Table for Data Exchange'!$J$417)*100</f>
        <v>0</v>
      </c>
      <c r="I22" s="118" t="s">
        <v>664</v>
      </c>
      <c r="J22" s="111">
        <f>('Pivot Table for Data Exchange'!$J$420)*100</f>
        <v>71.149054384498712</v>
      </c>
      <c r="K22" s="111">
        <f>('Pivot Table for Data Exchange'!$J$423)*100</f>
        <v>13.060637013650291</v>
      </c>
      <c r="L22" s="173">
        <f>SUM(M22:O22)</f>
        <v>15.790308601850992</v>
      </c>
      <c r="M22" s="111">
        <f>('Pivot Table for Data Exchange'!$J$426)*100</f>
        <v>12.859055313090042</v>
      </c>
      <c r="N22" s="120">
        <f>('Pivot Table for Data Exchange'!$J$429)*100</f>
        <v>0</v>
      </c>
      <c r="O22" s="119">
        <f>('Pivot Table for Data Exchange'!$J$432)*100</f>
        <v>2.9312532887609497</v>
      </c>
      <c r="P22" s="111">
        <f>('Pivot Table for Data Exchange'!$J$435)*100</f>
        <v>0</v>
      </c>
      <c r="Q22" s="160">
        <f t="shared" si="3"/>
        <v>100</v>
      </c>
      <c r="R22" s="160">
        <f t="shared" si="2"/>
        <v>100</v>
      </c>
      <c r="S22" s="116"/>
      <c r="T22" s="100"/>
      <c r="U22" s="100"/>
      <c r="V22" s="100"/>
      <c r="W22" s="100"/>
      <c r="X22" s="100"/>
      <c r="Y22" s="100"/>
      <c r="Z22" s="100"/>
      <c r="AA22" s="100"/>
      <c r="AB22" s="100"/>
      <c r="AC22" s="100"/>
      <c r="AD22" s="100"/>
      <c r="AE22" s="100"/>
      <c r="AF22" s="100"/>
      <c r="AG22" s="116"/>
      <c r="AH22" s="116"/>
      <c r="AI22" s="116"/>
      <c r="AJ22" s="116"/>
      <c r="AK22" s="116"/>
      <c r="AL22" s="116"/>
      <c r="AM22" s="116"/>
      <c r="AN22" s="116"/>
      <c r="AO22" s="116"/>
    </row>
    <row r="23" spans="1:41" ht="9.75" customHeight="1">
      <c r="A23" s="118"/>
      <c r="B23" s="111"/>
      <c r="C23" s="111"/>
      <c r="D23" s="173"/>
      <c r="E23" s="111"/>
      <c r="F23" s="111"/>
      <c r="G23" s="119"/>
      <c r="H23" s="111"/>
      <c r="I23" s="118"/>
      <c r="J23" s="111"/>
      <c r="K23" s="111"/>
      <c r="L23" s="173"/>
      <c r="M23" s="111"/>
      <c r="N23" s="111"/>
      <c r="O23" s="119"/>
      <c r="P23" s="111"/>
      <c r="Q23" s="160">
        <f t="shared" si="3"/>
        <v>0</v>
      </c>
      <c r="R23" s="160">
        <f t="shared" si="2"/>
        <v>0</v>
      </c>
      <c r="S23" s="116"/>
      <c r="T23" s="100"/>
      <c r="U23" s="100"/>
      <c r="V23" s="100"/>
      <c r="W23" s="100"/>
      <c r="X23" s="100"/>
      <c r="Y23" s="100"/>
      <c r="Z23" s="100"/>
      <c r="AA23" s="100"/>
      <c r="AB23" s="100"/>
      <c r="AC23" s="100"/>
      <c r="AD23" s="100"/>
      <c r="AE23" s="100"/>
      <c r="AF23" s="100"/>
      <c r="AG23" s="116"/>
      <c r="AH23" s="116"/>
      <c r="AI23" s="116"/>
      <c r="AJ23" s="116"/>
      <c r="AK23" s="116"/>
      <c r="AL23" s="116"/>
      <c r="AM23" s="116"/>
      <c r="AN23" s="116"/>
      <c r="AO23" s="116"/>
    </row>
    <row r="24" spans="1:41" ht="15.75" customHeight="1">
      <c r="A24" s="118" t="s">
        <v>665</v>
      </c>
      <c r="B24" s="111">
        <f>('Pivot Table for Data Exchange'!$J$438)*100</f>
        <v>85.960811996477105</v>
      </c>
      <c r="C24" s="111">
        <f>('Pivot Table for Data Exchange'!$J$441)*100</f>
        <v>1.6216288211133734</v>
      </c>
      <c r="D24" s="173">
        <f>SUM(E24:G24)</f>
        <v>11.922023564746446</v>
      </c>
      <c r="E24" s="111">
        <f>('Pivot Table for Data Exchange'!$J$444)*100</f>
        <v>6.5132199992341544</v>
      </c>
      <c r="F24" s="111">
        <f>('Pivot Table for Data Exchange'!$J$447)*100</f>
        <v>0.54997727435431698</v>
      </c>
      <c r="G24" s="119">
        <f>('Pivot Table for Data Exchange'!$J$450)*100</f>
        <v>4.8588262911579756</v>
      </c>
      <c r="H24" s="111">
        <f>('Pivot Table for Data Exchange'!$J$453)*100</f>
        <v>0.49553561766307108</v>
      </c>
      <c r="I24" s="118" t="s">
        <v>665</v>
      </c>
      <c r="J24" s="111">
        <f>('Pivot Table for Data Exchange'!$J$456)*100</f>
        <v>67.912971320207433</v>
      </c>
      <c r="K24" s="111">
        <f>('Pivot Table for Data Exchange'!$J$459)*100</f>
        <v>6.1695569072971619</v>
      </c>
      <c r="L24" s="173">
        <f>SUM(M24:O24)</f>
        <v>20.85159721201217</v>
      </c>
      <c r="M24" s="111">
        <f>('Pivot Table for Data Exchange'!$J$462)*100</f>
        <v>16.151540146476513</v>
      </c>
      <c r="N24" s="111">
        <f>('Pivot Table for Data Exchange'!$J$465)*100</f>
        <v>0.33940288018978654</v>
      </c>
      <c r="O24" s="119">
        <f>('Pivot Table for Data Exchange'!$J$468)*100</f>
        <v>4.3606541853458696</v>
      </c>
      <c r="P24" s="111">
        <f>('Pivot Table for Data Exchange'!$J$471)*100</f>
        <v>5.0658745604832376</v>
      </c>
      <c r="Q24" s="160">
        <f t="shared" si="3"/>
        <v>99.999999999999986</v>
      </c>
      <c r="R24" s="160">
        <f t="shared" si="2"/>
        <v>100</v>
      </c>
      <c r="S24" s="116"/>
      <c r="T24" s="100"/>
      <c r="U24" s="100"/>
      <c r="V24" s="100"/>
      <c r="W24" s="100"/>
      <c r="X24" s="100"/>
      <c r="Y24" s="100"/>
      <c r="Z24" s="100"/>
      <c r="AA24" s="100"/>
      <c r="AB24" s="100"/>
      <c r="AC24" s="100"/>
      <c r="AD24" s="100"/>
      <c r="AE24" s="100"/>
      <c r="AF24" s="100"/>
      <c r="AG24" s="116"/>
      <c r="AH24" s="116"/>
      <c r="AI24" s="116"/>
      <c r="AJ24" s="116"/>
      <c r="AK24" s="116"/>
      <c r="AL24" s="116"/>
      <c r="AM24" s="116"/>
      <c r="AN24" s="116"/>
      <c r="AO24" s="116"/>
    </row>
    <row r="25" spans="1:41" ht="15.75" customHeight="1">
      <c r="A25" s="118" t="s">
        <v>666</v>
      </c>
      <c r="B25" s="111">
        <f>('Pivot Table for Data Exchange'!$J$474)*100</f>
        <v>91.987260911288928</v>
      </c>
      <c r="C25" s="111">
        <f>('Pivot Table for Data Exchange'!$J$477)*100</f>
        <v>1.9888374374301392</v>
      </c>
      <c r="D25" s="173">
        <f>SUM(E25:G25)</f>
        <v>6.0239016512809398</v>
      </c>
      <c r="E25" s="111">
        <f>('Pivot Table for Data Exchange'!$J$480)*100</f>
        <v>5.3548107008723917</v>
      </c>
      <c r="F25" s="111">
        <f>('Pivot Table for Data Exchange'!$J$483)*100</f>
        <v>0.2222949202244632</v>
      </c>
      <c r="G25" s="119">
        <f>('Pivot Table for Data Exchange'!$J$486)*100</f>
        <v>0.44679603018408431</v>
      </c>
      <c r="H25" s="111">
        <f>('Pivot Table for Data Exchange'!$J$489)*100</f>
        <v>0</v>
      </c>
      <c r="I25" s="118" t="s">
        <v>666</v>
      </c>
      <c r="J25" s="111">
        <f>('Pivot Table for Data Exchange'!$J$492)*100</f>
        <v>75.842732681139722</v>
      </c>
      <c r="K25" s="111">
        <f>('Pivot Table for Data Exchange'!$J$495)*100</f>
        <v>5.4747429320330507</v>
      </c>
      <c r="L25" s="173">
        <f>SUM(M25:O25)</f>
        <v>18.682524386827229</v>
      </c>
      <c r="M25" s="111">
        <f>('Pivot Table for Data Exchange'!$J$498)*100</f>
        <v>14.132490500654507</v>
      </c>
      <c r="N25" s="111">
        <f>('Pivot Table for Data Exchange'!$J$501)*100</f>
        <v>0.2688459553892058</v>
      </c>
      <c r="O25" s="119">
        <f>('Pivot Table for Data Exchange'!$J$504)*100</f>
        <v>4.2811879307835143</v>
      </c>
      <c r="P25" s="111">
        <f>('Pivot Table for Data Exchange'!$J$507)*100</f>
        <v>0</v>
      </c>
      <c r="Q25" s="160">
        <f t="shared" si="3"/>
        <v>100</v>
      </c>
      <c r="R25" s="160">
        <f t="shared" si="2"/>
        <v>100</v>
      </c>
      <c r="S25" s="116"/>
      <c r="T25" s="100"/>
      <c r="U25" s="100"/>
      <c r="V25" s="100"/>
      <c r="W25" s="100"/>
      <c r="X25" s="100"/>
      <c r="Y25" s="100"/>
      <c r="Z25" s="100"/>
      <c r="AA25" s="100"/>
      <c r="AB25" s="100"/>
      <c r="AC25" s="100"/>
      <c r="AD25" s="100"/>
      <c r="AE25" s="100"/>
      <c r="AF25" s="100"/>
      <c r="AG25" s="116"/>
      <c r="AH25" s="116"/>
      <c r="AI25" s="116"/>
      <c r="AJ25" s="116"/>
      <c r="AK25" s="116"/>
      <c r="AL25" s="116"/>
      <c r="AM25" s="116"/>
      <c r="AN25" s="116"/>
      <c r="AO25" s="116"/>
    </row>
    <row r="26" spans="1:41" ht="15.75" customHeight="1">
      <c r="A26" s="118" t="s">
        <v>667</v>
      </c>
      <c r="B26" s="111">
        <f>('Pivot Table for Data Exchange'!$J$510)*100</f>
        <v>0</v>
      </c>
      <c r="C26" s="111">
        <f>('Pivot Table for Data Exchange'!$J$513)*100</f>
        <v>0</v>
      </c>
      <c r="D26" s="173">
        <f t="shared" si="0"/>
        <v>0</v>
      </c>
      <c r="E26" s="111">
        <f>('Pivot Table for Data Exchange'!$J$516)*100</f>
        <v>0</v>
      </c>
      <c r="F26" s="111">
        <f>('Pivot Table for Data Exchange'!$J$519)*100</f>
        <v>0</v>
      </c>
      <c r="G26" s="119">
        <f>('Pivot Table for Data Exchange'!$J$522)*100</f>
        <v>0</v>
      </c>
      <c r="H26" s="111">
        <f>('Pivot Table for Data Exchange'!$J$525)*100</f>
        <v>0</v>
      </c>
      <c r="I26" s="118" t="s">
        <v>667</v>
      </c>
      <c r="J26" s="111">
        <f>('Pivot Table for Data Exchange'!$J$528)*100</f>
        <v>0</v>
      </c>
      <c r="K26" s="111">
        <f>('Pivot Table for Data Exchange'!$J$531)*100</f>
        <v>0</v>
      </c>
      <c r="L26" s="173">
        <f t="shared" si="1"/>
        <v>0</v>
      </c>
      <c r="M26" s="111">
        <f>('Pivot Table for Data Exchange'!$J$534)*100</f>
        <v>0</v>
      </c>
      <c r="N26" s="111">
        <f>('Pivot Table for Data Exchange'!$J$537)*100</f>
        <v>0</v>
      </c>
      <c r="O26" s="119">
        <f>('Pivot Table for Data Exchange'!$J$540)*100</f>
        <v>0</v>
      </c>
      <c r="P26" s="111">
        <f>('Pivot Table for Data Exchange'!$J$543)*100</f>
        <v>0</v>
      </c>
      <c r="Q26" s="160">
        <f t="shared" si="3"/>
        <v>0</v>
      </c>
      <c r="R26" s="160">
        <f t="shared" si="2"/>
        <v>0</v>
      </c>
      <c r="S26" s="116"/>
      <c r="T26" s="100"/>
      <c r="U26" s="100"/>
      <c r="V26" s="100"/>
      <c r="W26" s="100"/>
      <c r="X26" s="100"/>
      <c r="Y26" s="100"/>
      <c r="Z26" s="100"/>
      <c r="AA26" s="100"/>
      <c r="AB26" s="100"/>
      <c r="AC26" s="100"/>
      <c r="AD26" s="100"/>
      <c r="AE26" s="100"/>
      <c r="AF26" s="100"/>
      <c r="AG26" s="116"/>
      <c r="AH26" s="116"/>
      <c r="AI26" s="116"/>
      <c r="AJ26" s="116"/>
      <c r="AK26" s="116"/>
      <c r="AL26" s="116"/>
      <c r="AM26" s="116"/>
      <c r="AN26" s="116"/>
      <c r="AO26" s="116"/>
    </row>
    <row r="27" spans="1:41" ht="15.75" customHeight="1">
      <c r="A27" s="91" t="s">
        <v>668</v>
      </c>
      <c r="B27" s="122">
        <f>('Pivot Table for Data Exchange'!$J$546)*100</f>
        <v>88.761923856654306</v>
      </c>
      <c r="C27" s="122">
        <f>('Pivot Table for Data Exchange'!$J$549)*100</f>
        <v>3.4331359768401333</v>
      </c>
      <c r="D27" s="174">
        <f>SUM(E27:G27)</f>
        <v>7.8049401665055713</v>
      </c>
      <c r="E27" s="122">
        <f>('Pivot Table for Data Exchange'!$J$552)*100</f>
        <v>7.4242031175597605</v>
      </c>
      <c r="F27" s="122">
        <f>('Pivot Table for Data Exchange'!$J$555)*100</f>
        <v>0.20991000083313746</v>
      </c>
      <c r="G27" s="124">
        <f>('Pivot Table for Data Exchange'!$J$558)*100</f>
        <v>0.17082704811267271</v>
      </c>
      <c r="H27" s="125">
        <f>('Pivot Table for Data Exchange'!$J$561)*100</f>
        <v>0</v>
      </c>
      <c r="I27" s="91" t="s">
        <v>668</v>
      </c>
      <c r="J27" s="122">
        <f>('Pivot Table for Data Exchange'!$J$564)*100</f>
        <v>55.217656518604784</v>
      </c>
      <c r="K27" s="122">
        <f>('Pivot Table for Data Exchange'!$J$567)*100</f>
        <v>19.83031109632341</v>
      </c>
      <c r="L27" s="174">
        <f>SUM(M27:O27)</f>
        <v>24.95203238507181</v>
      </c>
      <c r="M27" s="122">
        <f>('Pivot Table for Data Exchange'!$J$570)*100</f>
        <v>22.533133699329007</v>
      </c>
      <c r="N27" s="122">
        <f>('Pivot Table for Data Exchange'!$J$573)*100</f>
        <v>2.1527200133089335</v>
      </c>
      <c r="O27" s="124">
        <f>('Pivot Table for Data Exchange'!$J$576)*100</f>
        <v>0.26617867243387122</v>
      </c>
      <c r="P27" s="122">
        <f>('Pivot Table for Data Exchange'!$J$579)*100</f>
        <v>0</v>
      </c>
      <c r="Q27" s="160">
        <f t="shared" si="3"/>
        <v>100.00000000000001</v>
      </c>
      <c r="R27" s="160">
        <f t="shared" si="2"/>
        <v>100</v>
      </c>
      <c r="S27" s="116"/>
      <c r="T27" s="100"/>
      <c r="U27" s="100"/>
      <c r="V27" s="100"/>
      <c r="W27" s="100"/>
      <c r="X27" s="100"/>
      <c r="Y27" s="100"/>
      <c r="Z27" s="100"/>
      <c r="AA27" s="100"/>
      <c r="AB27" s="100"/>
      <c r="AC27" s="100"/>
      <c r="AD27" s="100"/>
      <c r="AE27" s="100"/>
      <c r="AF27" s="100"/>
      <c r="AG27" s="116"/>
      <c r="AH27" s="116"/>
      <c r="AI27" s="116"/>
      <c r="AJ27" s="116"/>
      <c r="AK27" s="116"/>
      <c r="AL27" s="116"/>
      <c r="AM27" s="116"/>
      <c r="AN27" s="116"/>
      <c r="AO27" s="116"/>
    </row>
    <row r="28" spans="1:41" s="60" customFormat="1" ht="18" customHeight="1">
      <c r="A28" s="58" t="s">
        <v>697</v>
      </c>
      <c r="B28" s="126"/>
      <c r="C28" s="126"/>
      <c r="D28" s="127"/>
      <c r="E28" s="126"/>
      <c r="F28" s="127"/>
      <c r="G28" s="127"/>
      <c r="H28" s="126"/>
      <c r="I28" s="58" t="s">
        <v>697</v>
      </c>
      <c r="J28" s="126"/>
      <c r="K28" s="126"/>
      <c r="L28" s="127"/>
      <c r="M28" s="126"/>
      <c r="N28" s="127"/>
      <c r="O28" s="127"/>
      <c r="P28" s="126"/>
      <c r="Q28" s="160"/>
      <c r="R28" s="160"/>
      <c r="S28" s="128"/>
      <c r="T28" s="100"/>
      <c r="U28" s="100"/>
      <c r="V28" s="100"/>
      <c r="W28" s="100"/>
      <c r="X28" s="100"/>
      <c r="Y28" s="100"/>
      <c r="Z28" s="100"/>
      <c r="AA28" s="100"/>
      <c r="AB28" s="100"/>
      <c r="AC28" s="100"/>
      <c r="AD28" s="100"/>
      <c r="AE28" s="100"/>
      <c r="AF28" s="100"/>
      <c r="AG28" s="128"/>
      <c r="AH28" s="128"/>
      <c r="AI28" s="128"/>
      <c r="AJ28" s="128"/>
      <c r="AK28" s="128"/>
      <c r="AL28" s="128"/>
      <c r="AM28" s="128"/>
      <c r="AN28" s="128"/>
      <c r="AO28" s="128"/>
    </row>
    <row r="29" spans="1:41" s="60" customFormat="1" ht="24.75" customHeight="1">
      <c r="A29" s="649" t="s">
        <v>698</v>
      </c>
      <c r="B29" s="654"/>
      <c r="C29" s="654"/>
      <c r="D29" s="654"/>
      <c r="E29" s="654"/>
      <c r="F29" s="654"/>
      <c r="G29" s="654"/>
      <c r="H29" s="654"/>
      <c r="I29" s="649" t="s">
        <v>698</v>
      </c>
      <c r="J29" s="654"/>
      <c r="K29" s="654"/>
      <c r="L29" s="654"/>
      <c r="M29" s="654"/>
      <c r="N29" s="654"/>
      <c r="O29" s="654"/>
      <c r="P29" s="654"/>
      <c r="Q29" s="160"/>
      <c r="R29" s="160"/>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row>
    <row r="30" spans="1:41" s="60" customFormat="1" ht="13.5" customHeight="1">
      <c r="A30" s="643" t="s">
        <v>699</v>
      </c>
      <c r="B30" s="652"/>
      <c r="C30" s="652"/>
      <c r="D30" s="652"/>
      <c r="E30" s="652"/>
      <c r="F30" s="652"/>
      <c r="G30" s="652"/>
      <c r="H30" s="652"/>
      <c r="I30" s="643" t="s">
        <v>699</v>
      </c>
      <c r="J30" s="652"/>
      <c r="K30" s="652"/>
      <c r="L30" s="652"/>
      <c r="M30" s="652"/>
      <c r="N30" s="652"/>
      <c r="O30" s="652"/>
      <c r="P30" s="652"/>
      <c r="Q30" s="160"/>
      <c r="R30" s="160"/>
    </row>
    <row r="31" spans="1:41" s="60" customFormat="1" ht="13.5" customHeight="1">
      <c r="A31" s="70"/>
      <c r="B31" s="175"/>
      <c r="C31" s="175"/>
      <c r="D31" s="130"/>
      <c r="E31" s="175"/>
      <c r="F31" s="175"/>
      <c r="G31" s="175"/>
      <c r="H31" s="175"/>
      <c r="I31" s="70"/>
      <c r="J31" s="175"/>
      <c r="K31" s="175"/>
      <c r="L31" s="130"/>
      <c r="M31" s="175"/>
      <c r="N31" s="175"/>
      <c r="O31" s="175"/>
      <c r="P31" s="175"/>
      <c r="Q31" s="160"/>
      <c r="R31" s="160"/>
    </row>
    <row r="32" spans="1:41">
      <c r="H32" s="64" t="s">
        <v>1034</v>
      </c>
      <c r="I32" s="65"/>
      <c r="P32" s="64" t="s">
        <v>1034</v>
      </c>
      <c r="Q32" s="160"/>
      <c r="R32" s="160"/>
    </row>
    <row r="33" spans="1:41" ht="18">
      <c r="A33" s="31" t="s">
        <v>1012</v>
      </c>
      <c r="B33" s="86"/>
      <c r="C33" s="86"/>
      <c r="D33" s="86"/>
      <c r="E33" s="86"/>
      <c r="F33" s="86"/>
      <c r="G33" s="86"/>
      <c r="H33" s="87"/>
      <c r="I33" s="31" t="s">
        <v>1027</v>
      </c>
      <c r="J33" s="38"/>
      <c r="K33" s="38"/>
      <c r="L33" s="86"/>
      <c r="M33" s="38"/>
      <c r="N33" s="38"/>
      <c r="O33" s="38"/>
      <c r="P33" s="38"/>
      <c r="Q33" s="160"/>
      <c r="R33" s="160"/>
    </row>
    <row r="34" spans="1:41">
      <c r="A34" s="37"/>
      <c r="B34" s="38"/>
      <c r="C34" s="38"/>
      <c r="D34" s="38"/>
      <c r="E34" s="38"/>
      <c r="F34" s="38"/>
      <c r="G34" s="38"/>
      <c r="H34" s="88"/>
      <c r="I34" s="37"/>
      <c r="J34" s="38"/>
      <c r="K34" s="38"/>
      <c r="L34" s="38"/>
      <c r="M34" s="38"/>
      <c r="N34" s="38"/>
      <c r="O34" s="38"/>
      <c r="P34" s="38"/>
      <c r="Q34" s="160"/>
      <c r="R34" s="160"/>
    </row>
    <row r="35" spans="1:41" ht="15.75">
      <c r="A35" s="89" t="s">
        <v>683</v>
      </c>
      <c r="B35" s="38"/>
      <c r="C35" s="38"/>
      <c r="D35" s="38"/>
      <c r="E35" s="38"/>
      <c r="F35" s="38"/>
      <c r="G35" s="38"/>
      <c r="H35" s="88"/>
      <c r="I35" s="89" t="s">
        <v>684</v>
      </c>
      <c r="J35" s="38"/>
      <c r="K35" s="38"/>
      <c r="L35" s="38"/>
      <c r="M35" s="38"/>
      <c r="N35" s="38"/>
      <c r="O35" s="38"/>
      <c r="P35" s="38"/>
      <c r="Q35" s="160"/>
      <c r="R35" s="160"/>
    </row>
    <row r="36" spans="1:41" ht="15.75">
      <c r="A36" s="89" t="s">
        <v>990</v>
      </c>
      <c r="B36" s="38"/>
      <c r="C36" s="38"/>
      <c r="D36" s="38"/>
      <c r="E36" s="38"/>
      <c r="F36" s="38"/>
      <c r="G36" s="38"/>
      <c r="H36" s="88"/>
      <c r="I36" s="89" t="s">
        <v>990</v>
      </c>
      <c r="J36" s="38"/>
      <c r="K36" s="38"/>
      <c r="L36" s="38"/>
      <c r="M36" s="38"/>
      <c r="N36" s="38"/>
      <c r="O36" s="38"/>
      <c r="P36" s="38"/>
      <c r="Q36" s="160"/>
      <c r="R36" s="160"/>
    </row>
    <row r="37" spans="1:41">
      <c r="A37" s="91"/>
      <c r="B37" s="92"/>
      <c r="C37" s="92"/>
      <c r="D37" s="92"/>
      <c r="E37" s="92"/>
      <c r="F37" s="92"/>
      <c r="G37" s="92"/>
      <c r="H37" s="92"/>
      <c r="I37" s="93"/>
      <c r="L37" s="94"/>
      <c r="P37" s="91"/>
      <c r="Q37" s="160"/>
      <c r="R37" s="160"/>
    </row>
    <row r="38" spans="1:41" s="100" customFormat="1">
      <c r="A38" s="95"/>
      <c r="B38" s="96" t="s">
        <v>685</v>
      </c>
      <c r="C38" s="96"/>
      <c r="D38" s="96"/>
      <c r="E38" s="96"/>
      <c r="F38" s="96"/>
      <c r="G38" s="96"/>
      <c r="H38" s="97"/>
      <c r="I38" s="95"/>
      <c r="J38" s="96" t="s">
        <v>685</v>
      </c>
      <c r="K38" s="96"/>
      <c r="L38" s="96"/>
      <c r="M38" s="96"/>
      <c r="N38" s="96"/>
      <c r="O38" s="96"/>
      <c r="P38" s="97"/>
      <c r="Q38" s="160"/>
      <c r="R38" s="160"/>
    </row>
    <row r="39" spans="1:41" s="100" customFormat="1">
      <c r="A39" s="95"/>
      <c r="B39" s="96" t="s">
        <v>686</v>
      </c>
      <c r="C39" s="96"/>
      <c r="D39" s="647" t="s">
        <v>687</v>
      </c>
      <c r="E39" s="648"/>
      <c r="F39" s="648"/>
      <c r="G39" s="648"/>
      <c r="H39" s="101" t="s">
        <v>59</v>
      </c>
      <c r="I39" s="95"/>
      <c r="J39" s="96" t="s">
        <v>686</v>
      </c>
      <c r="K39" s="96"/>
      <c r="L39" s="647" t="s">
        <v>687</v>
      </c>
      <c r="M39" s="648"/>
      <c r="N39" s="648"/>
      <c r="O39" s="648"/>
      <c r="P39" s="101" t="s">
        <v>59</v>
      </c>
      <c r="Q39" s="160"/>
      <c r="R39" s="160"/>
    </row>
    <row r="40" spans="1:41" s="100" customFormat="1" ht="40.5" customHeight="1">
      <c r="A40" s="95"/>
      <c r="B40" s="102" t="s">
        <v>688</v>
      </c>
      <c r="C40" s="103" t="s">
        <v>689</v>
      </c>
      <c r="D40" s="104" t="s">
        <v>690</v>
      </c>
      <c r="E40" s="105" t="s">
        <v>9</v>
      </c>
      <c r="F40" s="102" t="s">
        <v>691</v>
      </c>
      <c r="G40" s="106" t="s">
        <v>692</v>
      </c>
      <c r="H40" s="107" t="s">
        <v>693</v>
      </c>
      <c r="I40" s="95"/>
      <c r="J40" s="102" t="s">
        <v>688</v>
      </c>
      <c r="K40" s="103" t="s">
        <v>689</v>
      </c>
      <c r="L40" s="104" t="s">
        <v>690</v>
      </c>
      <c r="M40" s="105" t="s">
        <v>9</v>
      </c>
      <c r="N40" s="102" t="s">
        <v>691</v>
      </c>
      <c r="O40" s="106" t="s">
        <v>692</v>
      </c>
      <c r="P40" s="107" t="s">
        <v>693</v>
      </c>
      <c r="Q40" s="160"/>
      <c r="R40" s="160"/>
      <c r="T40" s="131"/>
    </row>
    <row r="41" spans="1:41" ht="15.75" customHeight="1">
      <c r="A41" s="115" t="s">
        <v>653</v>
      </c>
      <c r="B41" s="111">
        <f>('Pivot Table for Data Exchange'!$C$6)*100</f>
        <v>96.074663354573644</v>
      </c>
      <c r="C41" s="111">
        <f>('Pivot Table for Data Exchange'!$C$9)*100</f>
        <v>7.0230942527234483E-2</v>
      </c>
      <c r="D41" s="173">
        <f>SUM(E41:G41)</f>
        <v>3.8535065163520161</v>
      </c>
      <c r="E41" s="111">
        <f>('Pivot Table for Data Exchange'!$C$12)*100</f>
        <v>3.701783692694983</v>
      </c>
      <c r="F41" s="111">
        <f>('Pivot Table for Data Exchange'!$C$15)*100</f>
        <v>4.777569809490239E-2</v>
      </c>
      <c r="G41" s="113">
        <f>('Pivot Table for Data Exchange'!$C$18)*100</f>
        <v>0.10394712556213073</v>
      </c>
      <c r="H41" s="120">
        <f>('Pivot Table for Data Exchange'!$C$21)*100</f>
        <v>1.5991865471097035E-3</v>
      </c>
      <c r="I41" s="115" t="s">
        <v>653</v>
      </c>
      <c r="J41" s="111">
        <f>('Pivot Table for Data Exchange'!$C$24)*100</f>
        <v>84.036021486846451</v>
      </c>
      <c r="K41" s="111">
        <f>('Pivot Table for Data Exchange'!$C$27)*100</f>
        <v>2.8951112993042871</v>
      </c>
      <c r="L41" s="173">
        <f>SUM(M41:O41)</f>
        <v>13.067390116247582</v>
      </c>
      <c r="M41" s="111">
        <f>('Pivot Table for Data Exchange'!$C$30)*100</f>
        <v>9.2180737662542285</v>
      </c>
      <c r="N41" s="111">
        <f>('Pivot Table for Data Exchange'!$C$33)*100</f>
        <v>0.41063313326866929</v>
      </c>
      <c r="O41" s="113">
        <f>('Pivot Table for Data Exchange'!$C$36)*100</f>
        <v>3.4386832167246841</v>
      </c>
      <c r="P41" s="111">
        <f>('Pivot Table for Data Exchange'!$C$39)*100</f>
        <v>1.4770976016858608E-3</v>
      </c>
      <c r="Q41" s="160">
        <f t="shared" si="3"/>
        <v>100</v>
      </c>
      <c r="R41" s="160">
        <f t="shared" si="2"/>
        <v>100</v>
      </c>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row>
    <row r="42" spans="1:41" ht="15.75" customHeight="1">
      <c r="A42" s="118" t="s">
        <v>654</v>
      </c>
      <c r="B42" s="111">
        <f>('Pivot Table for Data Exchange'!$C$42)*100</f>
        <v>95.681077439855571</v>
      </c>
      <c r="C42" s="111">
        <f>('Pivot Table for Data Exchange'!$C$45)*100</f>
        <v>2.2404325726870447</v>
      </c>
      <c r="D42" s="173">
        <f t="shared" ref="D42:D44" si="4">SUM(E42:G42)</f>
        <v>2.0784899874573881</v>
      </c>
      <c r="E42" s="111">
        <f>('Pivot Table for Data Exchange'!$C$48)*100</f>
        <v>1.9365067124521147</v>
      </c>
      <c r="F42" s="111">
        <f>('Pivot Table for Data Exchange'!$C$51)*100</f>
        <v>0.12225077512434876</v>
      </c>
      <c r="G42" s="119">
        <f>('Pivot Table for Data Exchange'!$C$54)*100</f>
        <v>1.973249988092457E-2</v>
      </c>
      <c r="H42" s="111">
        <f>('Pivot Table for Data Exchange'!$C$57)*100</f>
        <v>0</v>
      </c>
      <c r="I42" s="118" t="s">
        <v>654</v>
      </c>
      <c r="J42" s="111">
        <f>('Pivot Table for Data Exchange'!$C$60)*100</f>
        <v>77.566729427400588</v>
      </c>
      <c r="K42" s="111">
        <f>('Pivot Table for Data Exchange'!$C$63)*100</f>
        <v>4.3291062133126594</v>
      </c>
      <c r="L42" s="173">
        <f t="shared" ref="L42:L44" si="5">SUM(M42:O42)</f>
        <v>18.104164359286742</v>
      </c>
      <c r="M42" s="111">
        <f>('Pivot Table for Data Exchange'!$C$66)*100</f>
        <v>15.004430169453981</v>
      </c>
      <c r="N42" s="111">
        <f>('Pivot Table for Data Exchange'!$C$69)*100</f>
        <v>0.1744379222505261</v>
      </c>
      <c r="O42" s="119">
        <f>('Pivot Table for Data Exchange'!$C$72)*100</f>
        <v>2.9252962675822349</v>
      </c>
      <c r="P42" s="120">
        <f>('Pivot Table for Data Exchange'!$C$75)*100</f>
        <v>0</v>
      </c>
      <c r="Q42" s="160">
        <f t="shared" si="3"/>
        <v>100</v>
      </c>
      <c r="R42" s="160">
        <f t="shared" si="2"/>
        <v>99.999999999999986</v>
      </c>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row>
    <row r="43" spans="1:41" ht="15.75" customHeight="1">
      <c r="A43" s="118" t="s">
        <v>655</v>
      </c>
      <c r="B43" s="111">
        <f>('Pivot Table for Data Exchange'!$C$78)*100</f>
        <v>0</v>
      </c>
      <c r="C43" s="111">
        <f>('Pivot Table for Data Exchange'!$C$81)*100</f>
        <v>0</v>
      </c>
      <c r="D43" s="173">
        <f t="shared" si="4"/>
        <v>0</v>
      </c>
      <c r="E43" s="111">
        <f>('Pivot Table for Data Exchange'!$C$84)*100</f>
        <v>0</v>
      </c>
      <c r="F43" s="111">
        <f>('Pivot Table for Data Exchange'!$C$87)*100</f>
        <v>0</v>
      </c>
      <c r="G43" s="119">
        <f>('Pivot Table for Data Exchange'!$C$90)*100</f>
        <v>0</v>
      </c>
      <c r="H43" s="111">
        <f>('Pivot Table for Data Exchange'!$C$93)*100</f>
        <v>0</v>
      </c>
      <c r="I43" s="118" t="s">
        <v>655</v>
      </c>
      <c r="J43" s="111">
        <f>('Pivot Table for Data Exchange'!$C$96)*100</f>
        <v>0</v>
      </c>
      <c r="K43" s="111">
        <f>('Pivot Table for Data Exchange'!$C$99)*100</f>
        <v>0</v>
      </c>
      <c r="L43" s="173">
        <f t="shared" si="5"/>
        <v>0</v>
      </c>
      <c r="M43" s="111">
        <f>('Pivot Table for Data Exchange'!$C$102)*100</f>
        <v>0</v>
      </c>
      <c r="N43" s="111">
        <f>('Pivot Table for Data Exchange'!$C$105)*100</f>
        <v>0</v>
      </c>
      <c r="O43" s="119">
        <f>('Pivot Table for Data Exchange'!$C$108)*100</f>
        <v>0</v>
      </c>
      <c r="P43" s="111">
        <f>('Pivot Table for Data Exchange'!$C$111)*100</f>
        <v>0</v>
      </c>
      <c r="Q43" s="160">
        <f t="shared" si="3"/>
        <v>0</v>
      </c>
      <c r="R43" s="160">
        <f t="shared" si="2"/>
        <v>0</v>
      </c>
      <c r="S43" s="116"/>
      <c r="T43" s="132"/>
      <c r="U43" s="116"/>
      <c r="V43" s="116"/>
      <c r="W43" s="116"/>
      <c r="X43" s="116"/>
      <c r="Y43" s="116"/>
      <c r="Z43" s="116"/>
      <c r="AA43" s="116"/>
      <c r="AB43" s="116"/>
      <c r="AC43" s="116"/>
      <c r="AD43" s="116"/>
      <c r="AE43" s="116"/>
      <c r="AF43" s="116"/>
      <c r="AG43" s="116"/>
      <c r="AH43" s="116"/>
      <c r="AI43" s="116"/>
      <c r="AJ43" s="116"/>
      <c r="AK43" s="116"/>
      <c r="AL43" s="116"/>
      <c r="AM43" s="116"/>
      <c r="AN43" s="116"/>
      <c r="AO43" s="116"/>
    </row>
    <row r="44" spans="1:41" ht="15.75" customHeight="1">
      <c r="A44" s="118" t="s">
        <v>695</v>
      </c>
      <c r="B44" s="111">
        <f>('Pivot Table for Data Exchange'!$C$114)*100</f>
        <v>72.300286099259822</v>
      </c>
      <c r="C44" s="111">
        <f>('Pivot Table for Data Exchange'!$C$117)*100</f>
        <v>8.6128890819797501</v>
      </c>
      <c r="D44" s="173">
        <f t="shared" si="4"/>
        <v>18.945857366805679</v>
      </c>
      <c r="E44" s="111">
        <f>('Pivot Table for Data Exchange'!$C$120)*100</f>
        <v>12.626006803116061</v>
      </c>
      <c r="F44" s="111">
        <f>('Pivot Table for Data Exchange'!$C$123)*100</f>
        <v>1.2118876344656511</v>
      </c>
      <c r="G44" s="119">
        <f>('Pivot Table for Data Exchange'!$C$126)*100</f>
        <v>5.1079629292239686</v>
      </c>
      <c r="H44" s="111">
        <f>('Pivot Table for Data Exchange'!$C$129)*100</f>
        <v>0.14096745195474467</v>
      </c>
      <c r="I44" s="118" t="s">
        <v>695</v>
      </c>
      <c r="J44" s="111">
        <f>('Pivot Table for Data Exchange'!$C$132)*100</f>
        <v>72.144619468829305</v>
      </c>
      <c r="K44" s="111">
        <f>('Pivot Table for Data Exchange'!$C$135)*100</f>
        <v>9.1626368409098458</v>
      </c>
      <c r="L44" s="173">
        <f t="shared" si="5"/>
        <v>18.692447820688837</v>
      </c>
      <c r="M44" s="111">
        <f>('Pivot Table for Data Exchange'!$C$138)*100</f>
        <v>15.453070499900242</v>
      </c>
      <c r="N44" s="111">
        <f>('Pivot Table for Data Exchange'!$C$141)*100</f>
        <v>0.18886341013548558</v>
      </c>
      <c r="O44" s="119">
        <f>('Pivot Table for Data Exchange'!$C$144)*100</f>
        <v>3.0505139106531094</v>
      </c>
      <c r="P44" s="111">
        <f>('Pivot Table for Data Exchange'!$C$147)*100</f>
        <v>2.9586957201381553E-4</v>
      </c>
      <c r="Q44" s="160">
        <f t="shared" si="3"/>
        <v>100</v>
      </c>
      <c r="R44" s="160">
        <f t="shared" si="2"/>
        <v>100</v>
      </c>
      <c r="S44" s="116"/>
      <c r="U44" s="116"/>
      <c r="V44" s="116"/>
      <c r="W44" s="116"/>
      <c r="X44" s="116"/>
      <c r="Y44" s="116"/>
      <c r="Z44" s="116"/>
      <c r="AA44" s="116"/>
      <c r="AB44" s="116"/>
      <c r="AC44" s="116"/>
      <c r="AD44" s="116"/>
      <c r="AE44" s="116"/>
      <c r="AF44" s="116"/>
      <c r="AG44" s="116"/>
      <c r="AH44" s="116"/>
      <c r="AI44" s="116"/>
      <c r="AJ44" s="116"/>
      <c r="AK44" s="116"/>
      <c r="AL44" s="116"/>
      <c r="AM44" s="116"/>
      <c r="AN44" s="116"/>
      <c r="AO44" s="116"/>
    </row>
    <row r="45" spans="1:41" ht="10.5" customHeight="1">
      <c r="A45" s="118"/>
      <c r="B45" s="111"/>
      <c r="C45" s="111"/>
      <c r="D45" s="173"/>
      <c r="E45" s="111"/>
      <c r="F45" s="111"/>
      <c r="G45" s="119"/>
      <c r="H45" s="111"/>
      <c r="I45" s="118"/>
      <c r="J45" s="111"/>
      <c r="K45" s="111"/>
      <c r="L45" s="173"/>
      <c r="M45" s="111"/>
      <c r="N45" s="111"/>
      <c r="O45" s="119"/>
      <c r="P45" s="111"/>
      <c r="Q45" s="160">
        <f t="shared" si="3"/>
        <v>0</v>
      </c>
      <c r="R45" s="160">
        <f t="shared" si="2"/>
        <v>0</v>
      </c>
      <c r="S45" s="116"/>
      <c r="U45" s="116"/>
      <c r="V45" s="116"/>
      <c r="W45" s="116"/>
      <c r="X45" s="116"/>
      <c r="Y45" s="116"/>
      <c r="Z45" s="116"/>
      <c r="AA45" s="116"/>
      <c r="AB45" s="116"/>
      <c r="AC45" s="116"/>
      <c r="AD45" s="116"/>
      <c r="AE45" s="116"/>
      <c r="AF45" s="116"/>
      <c r="AG45" s="116"/>
      <c r="AH45" s="116"/>
      <c r="AI45" s="116"/>
      <c r="AJ45" s="116"/>
      <c r="AK45" s="116"/>
      <c r="AL45" s="116"/>
      <c r="AM45" s="116"/>
      <c r="AN45" s="116"/>
      <c r="AO45" s="116"/>
    </row>
    <row r="46" spans="1:41" ht="15.75" customHeight="1">
      <c r="A46" s="118" t="s">
        <v>657</v>
      </c>
      <c r="B46" s="111">
        <f>('Pivot Table for Data Exchange'!$C$150)*100</f>
        <v>0</v>
      </c>
      <c r="C46" s="111">
        <f>('Pivot Table for Data Exchange'!$C$153)*100</f>
        <v>0</v>
      </c>
      <c r="D46" s="173">
        <f t="shared" ref="D46:D49" si="6">SUM(E46:G46)</f>
        <v>0</v>
      </c>
      <c r="E46" s="111">
        <f>('Pivot Table for Data Exchange'!$C$156)*100</f>
        <v>0</v>
      </c>
      <c r="F46" s="111">
        <f>('Pivot Table for Data Exchange'!$C$159)*100</f>
        <v>0</v>
      </c>
      <c r="G46" s="119">
        <f>('Pivot Table for Data Exchange'!$C$162)*100</f>
        <v>0</v>
      </c>
      <c r="H46" s="120">
        <f>('Pivot Table for Data Exchange'!$C$165)*100</f>
        <v>0</v>
      </c>
      <c r="I46" s="118" t="s">
        <v>657</v>
      </c>
      <c r="J46" s="111">
        <f>('Pivot Table for Data Exchange'!$C$168)*100</f>
        <v>0</v>
      </c>
      <c r="K46" s="111">
        <f>('Pivot Table for Data Exchange'!$C$171)*100</f>
        <v>0</v>
      </c>
      <c r="L46" s="173">
        <f t="shared" ref="L46:L49" si="7">SUM(M46:O46)</f>
        <v>0</v>
      </c>
      <c r="M46" s="111">
        <f>('Pivot Table for Data Exchange'!$C$174)*100</f>
        <v>0</v>
      </c>
      <c r="N46" s="111">
        <f>('Pivot Table for Data Exchange'!$C$177)*100</f>
        <v>0</v>
      </c>
      <c r="O46" s="121">
        <f>('Pivot Table for Data Exchange'!$C$180)*100</f>
        <v>0</v>
      </c>
      <c r="P46" s="114">
        <f>('Pivot Table for Data Exchange'!$C$183)*100</f>
        <v>0</v>
      </c>
      <c r="Q46" s="160">
        <f t="shared" si="3"/>
        <v>0</v>
      </c>
      <c r="R46" s="160">
        <f t="shared" si="2"/>
        <v>0</v>
      </c>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row>
    <row r="47" spans="1:41" ht="15.75" customHeight="1">
      <c r="A47" s="118" t="s">
        <v>658</v>
      </c>
      <c r="B47" s="111">
        <f>('Pivot Table for Data Exchange'!$C$186)*100</f>
        <v>95.017027452513062</v>
      </c>
      <c r="C47" s="111">
        <f>('Pivot Table for Data Exchange'!$C$189)*100</f>
        <v>1.7990255598419995</v>
      </c>
      <c r="D47" s="173">
        <f t="shared" si="6"/>
        <v>3.183946987644942</v>
      </c>
      <c r="E47" s="111">
        <f>('Pivot Table for Data Exchange'!$C$192)*100</f>
        <v>2.8426294514547439</v>
      </c>
      <c r="F47" s="111">
        <f>('Pivot Table for Data Exchange'!$C$195)*100</f>
        <v>0</v>
      </c>
      <c r="G47" s="119">
        <f>('Pivot Table for Data Exchange'!$C$198)*100</f>
        <v>0.34131753619019806</v>
      </c>
      <c r="H47" s="111">
        <f>('Pivot Table for Data Exchange'!$C$201)*100</f>
        <v>0</v>
      </c>
      <c r="I47" s="118" t="s">
        <v>658</v>
      </c>
      <c r="J47" s="111">
        <f>('Pivot Table for Data Exchange'!$C$204)*100</f>
        <v>88.219059437937901</v>
      </c>
      <c r="K47" s="111">
        <f>('Pivot Table for Data Exchange'!$C$207)*100</f>
        <v>6.3981747201323715</v>
      </c>
      <c r="L47" s="173">
        <f t="shared" si="7"/>
        <v>5.3827658419297295</v>
      </c>
      <c r="M47" s="111">
        <f>('Pivot Table for Data Exchange'!$C$210)*100</f>
        <v>5.1604229685358982</v>
      </c>
      <c r="N47" s="111">
        <f>('Pivot Table for Data Exchange'!$C$213)*100</f>
        <v>0</v>
      </c>
      <c r="O47" s="119">
        <f>('Pivot Table for Data Exchange'!$C$216)*100</f>
        <v>0.2223428733938313</v>
      </c>
      <c r="P47" s="111">
        <f>('Pivot Table for Data Exchange'!$C$219)*100</f>
        <v>0</v>
      </c>
      <c r="Q47" s="160">
        <f t="shared" si="3"/>
        <v>100</v>
      </c>
      <c r="R47" s="160">
        <f t="shared" si="2"/>
        <v>100</v>
      </c>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row>
    <row r="48" spans="1:41" ht="15.75" customHeight="1">
      <c r="A48" s="118" t="s">
        <v>659</v>
      </c>
      <c r="B48" s="111">
        <f>('Pivot Table for Data Exchange'!$C$222)*100</f>
        <v>0</v>
      </c>
      <c r="C48" s="111">
        <f>('Pivot Table for Data Exchange'!$C$225)*100</f>
        <v>0</v>
      </c>
      <c r="D48" s="173">
        <f t="shared" si="6"/>
        <v>0</v>
      </c>
      <c r="E48" s="111">
        <f>('Pivot Table for Data Exchange'!$C$228)*100</f>
        <v>0</v>
      </c>
      <c r="F48" s="111">
        <f>('Pivot Table for Data Exchange'!$C$231)*100</f>
        <v>0</v>
      </c>
      <c r="G48" s="119">
        <f>('Pivot Table for Data Exchange'!$C$234)*100</f>
        <v>0</v>
      </c>
      <c r="H48" s="111">
        <f>('Pivot Table for Data Exchange'!$C$237)*100</f>
        <v>0</v>
      </c>
      <c r="I48" s="118" t="s">
        <v>659</v>
      </c>
      <c r="J48" s="111">
        <f>('Pivot Table for Data Exchange'!$C$240)*100</f>
        <v>0</v>
      </c>
      <c r="K48" s="111">
        <f>('Pivot Table for Data Exchange'!$C$243)*100</f>
        <v>0</v>
      </c>
      <c r="L48" s="173">
        <f t="shared" si="7"/>
        <v>0</v>
      </c>
      <c r="M48" s="111">
        <f>('Pivot Table for Data Exchange'!$C$246)*100</f>
        <v>0</v>
      </c>
      <c r="N48" s="111">
        <f>('Pivot Table for Data Exchange'!$C$249)*100</f>
        <v>0</v>
      </c>
      <c r="O48" s="121">
        <f>('Pivot Table for Data Exchange'!$C$252)*100</f>
        <v>0</v>
      </c>
      <c r="P48" s="111">
        <f>('Pivot Table for Data Exchange'!$C$255)*100</f>
        <v>0</v>
      </c>
      <c r="Q48" s="160">
        <f t="shared" si="3"/>
        <v>0</v>
      </c>
      <c r="R48" s="160">
        <f t="shared" si="2"/>
        <v>0</v>
      </c>
      <c r="S48" s="116"/>
      <c r="T48" s="132"/>
      <c r="U48" s="116"/>
      <c r="V48" s="116"/>
      <c r="W48" s="116"/>
      <c r="X48" s="116"/>
      <c r="Y48" s="116"/>
      <c r="Z48" s="116"/>
      <c r="AA48" s="116"/>
      <c r="AB48" s="116"/>
      <c r="AC48" s="116"/>
      <c r="AD48" s="116"/>
      <c r="AE48" s="116"/>
      <c r="AF48" s="116"/>
      <c r="AG48" s="116"/>
      <c r="AH48" s="116"/>
      <c r="AI48" s="116"/>
      <c r="AJ48" s="116"/>
      <c r="AK48" s="116"/>
      <c r="AL48" s="116"/>
      <c r="AM48" s="116"/>
      <c r="AN48" s="116"/>
      <c r="AO48" s="116"/>
    </row>
    <row r="49" spans="1:41" ht="15.75" customHeight="1">
      <c r="A49" s="118" t="s">
        <v>700</v>
      </c>
      <c r="B49" s="111">
        <f>('Pivot Table for Data Exchange'!$C$258)*100</f>
        <v>97.057862996322967</v>
      </c>
      <c r="C49" s="111">
        <f>('Pivot Table for Data Exchange'!$C$261)*100</f>
        <v>2.037184781187404</v>
      </c>
      <c r="D49" s="173">
        <f t="shared" si="6"/>
        <v>0.90495222248963558</v>
      </c>
      <c r="E49" s="111">
        <f>('Pivot Table for Data Exchange'!$C$264)*100</f>
        <v>0.8606079212061144</v>
      </c>
      <c r="F49" s="120">
        <f>('Pivot Table for Data Exchange'!$C$267)*100</f>
        <v>4.4344301283521168E-2</v>
      </c>
      <c r="G49" s="121">
        <f>('Pivot Table for Data Exchange'!$C$270)*100</f>
        <v>0</v>
      </c>
      <c r="H49" s="111">
        <f>('Pivot Table for Data Exchange'!$C$273)*100</f>
        <v>0</v>
      </c>
      <c r="I49" s="118" t="s">
        <v>700</v>
      </c>
      <c r="J49" s="111">
        <f>('Pivot Table for Data Exchange'!$C$276)*100</f>
        <v>75.141242937853107</v>
      </c>
      <c r="K49" s="111">
        <f>('Pivot Table for Data Exchange'!$C$279)*100</f>
        <v>21.09636803874092</v>
      </c>
      <c r="L49" s="173">
        <f t="shared" si="7"/>
        <v>3.762389023405972</v>
      </c>
      <c r="M49" s="111">
        <f>('Pivot Table for Data Exchange'!$C$282)*100</f>
        <v>3.2206618240516542</v>
      </c>
      <c r="N49" s="111">
        <f>('Pivot Table for Data Exchange'!$C$285)*100</f>
        <v>0.54172719935431801</v>
      </c>
      <c r="O49" s="119">
        <f>('Pivot Table for Data Exchange'!$C$288)*100</f>
        <v>0</v>
      </c>
      <c r="P49" s="111">
        <f>('Pivot Table for Data Exchange'!$C$291)*100</f>
        <v>0</v>
      </c>
      <c r="Q49" s="160">
        <f t="shared" si="3"/>
        <v>100.00000000000001</v>
      </c>
      <c r="R49" s="160">
        <f t="shared" si="2"/>
        <v>100</v>
      </c>
      <c r="S49" s="116"/>
      <c r="U49" s="116"/>
      <c r="V49" s="116"/>
      <c r="W49" s="116"/>
      <c r="X49" s="116"/>
      <c r="Y49" s="116"/>
      <c r="Z49" s="116"/>
      <c r="AA49" s="116"/>
      <c r="AB49" s="116"/>
      <c r="AC49" s="116"/>
      <c r="AD49" s="116"/>
      <c r="AE49" s="116"/>
      <c r="AF49" s="116"/>
      <c r="AG49" s="116"/>
      <c r="AH49" s="116"/>
      <c r="AI49" s="116"/>
      <c r="AJ49" s="116"/>
      <c r="AK49" s="116"/>
      <c r="AL49" s="116"/>
      <c r="AM49" s="116"/>
      <c r="AN49" s="116"/>
      <c r="AO49" s="116"/>
    </row>
    <row r="50" spans="1:41" ht="12" customHeight="1">
      <c r="A50" s="118"/>
      <c r="B50" s="111"/>
      <c r="C50" s="111"/>
      <c r="D50" s="173"/>
      <c r="E50" s="111"/>
      <c r="F50" s="111"/>
      <c r="G50" s="119"/>
      <c r="H50" s="111"/>
      <c r="I50" s="118"/>
      <c r="J50" s="111"/>
      <c r="K50" s="111"/>
      <c r="L50" s="173"/>
      <c r="M50" s="111"/>
      <c r="N50" s="111"/>
      <c r="O50" s="119"/>
      <c r="P50" s="111"/>
      <c r="Q50" s="160">
        <f t="shared" si="3"/>
        <v>0</v>
      </c>
      <c r="R50" s="160">
        <f t="shared" si="2"/>
        <v>0</v>
      </c>
      <c r="S50" s="116"/>
      <c r="U50" s="116"/>
      <c r="V50" s="116"/>
      <c r="W50" s="116"/>
      <c r="X50" s="116"/>
      <c r="Y50" s="116"/>
      <c r="Z50" s="116"/>
      <c r="AA50" s="116"/>
      <c r="AB50" s="116"/>
      <c r="AC50" s="116"/>
      <c r="AD50" s="116"/>
      <c r="AE50" s="116"/>
      <c r="AF50" s="116"/>
      <c r="AG50" s="116"/>
      <c r="AH50" s="116"/>
      <c r="AI50" s="116"/>
      <c r="AJ50" s="116"/>
      <c r="AK50" s="116"/>
      <c r="AL50" s="116"/>
      <c r="AM50" s="116"/>
      <c r="AN50" s="116"/>
      <c r="AO50" s="116"/>
    </row>
    <row r="51" spans="1:41" ht="15.75" customHeight="1">
      <c r="A51" s="118" t="s">
        <v>661</v>
      </c>
      <c r="B51" s="111">
        <f>('Pivot Table for Data Exchange'!$C$294)*100</f>
        <v>86.488117497917543</v>
      </c>
      <c r="C51" s="111">
        <f>('Pivot Table for Data Exchange'!$C$297)*100</f>
        <v>6.813048543899038</v>
      </c>
      <c r="D51" s="173">
        <f t="shared" ref="D51:D53" si="8">SUM(E51:G51)</f>
        <v>6.430308176873301</v>
      </c>
      <c r="E51" s="111">
        <f>('Pivot Table for Data Exchange'!$C$300)*100</f>
        <v>5.9888404519441458</v>
      </c>
      <c r="F51" s="111">
        <f>('Pivot Table for Data Exchange'!$C$303)*100</f>
        <v>9.9904011146047508E-2</v>
      </c>
      <c r="G51" s="119">
        <f>('Pivot Table for Data Exchange'!$C$306)*100</f>
        <v>0.3415637137831084</v>
      </c>
      <c r="H51" s="111">
        <f>('Pivot Table for Data Exchange'!$C$309)*100</f>
        <v>0.26852578131011962</v>
      </c>
      <c r="I51" s="118" t="s">
        <v>661</v>
      </c>
      <c r="J51" s="111">
        <f>('Pivot Table for Data Exchange'!$C$312)*100</f>
        <v>71.49448690897448</v>
      </c>
      <c r="K51" s="111">
        <f>('Pivot Table for Data Exchange'!$C$315)*100</f>
        <v>8.5688951650643261</v>
      </c>
      <c r="L51" s="173">
        <f t="shared" ref="L51:L53" si="9">SUM(M51:O51)</f>
        <v>19.931691858030721</v>
      </c>
      <c r="M51" s="111">
        <f>('Pivot Table for Data Exchange'!$C$318)*100</f>
        <v>19.401318544182725</v>
      </c>
      <c r="N51" s="111">
        <f>('Pivot Table for Data Exchange'!$C$321)*100</f>
        <v>0.51313207609132938</v>
      </c>
      <c r="O51" s="119">
        <f>('Pivot Table for Data Exchange'!$C$324)*100</f>
        <v>1.7241237756668665E-2</v>
      </c>
      <c r="P51" s="114">
        <f>('Pivot Table for Data Exchange'!$C$327)*100</f>
        <v>4.9260679304767617E-3</v>
      </c>
      <c r="Q51" s="160">
        <f t="shared" si="3"/>
        <v>100</v>
      </c>
      <c r="R51" s="160">
        <f t="shared" si="2"/>
        <v>100</v>
      </c>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row>
    <row r="52" spans="1:41" ht="15.75" customHeight="1">
      <c r="A52" s="118" t="s">
        <v>662</v>
      </c>
      <c r="B52" s="111">
        <f>('Pivot Table for Data Exchange'!$C$330)*100</f>
        <v>93.601678045087269</v>
      </c>
      <c r="C52" s="111">
        <f>('Pivot Table for Data Exchange'!$C$333)*100</f>
        <v>0.34681882856658008</v>
      </c>
      <c r="D52" s="173">
        <f t="shared" si="8"/>
        <v>6.0515031263461561</v>
      </c>
      <c r="E52" s="111">
        <f>('Pivot Table for Data Exchange'!$C$336)*100</f>
        <v>5.2851730259636849</v>
      </c>
      <c r="F52" s="120">
        <f>('Pivot Table for Data Exchange'!$C$339)*100</f>
        <v>1.3869489733314188E-3</v>
      </c>
      <c r="G52" s="119">
        <f>('Pivot Table for Data Exchange'!$C$342)*100</f>
        <v>0.76494315140914015</v>
      </c>
      <c r="H52" s="111">
        <f>('Pivot Table for Data Exchange'!$C$345)*100</f>
        <v>0</v>
      </c>
      <c r="I52" s="118" t="s">
        <v>662</v>
      </c>
      <c r="J52" s="111">
        <f>('Pivot Table for Data Exchange'!$C$348)*100</f>
        <v>84.358926355937314</v>
      </c>
      <c r="K52" s="111">
        <f>('Pivot Table for Data Exchange'!$C$351)*100</f>
        <v>6.6913955532427307</v>
      </c>
      <c r="L52" s="173">
        <f t="shared" si="9"/>
        <v>8.9496780908199547</v>
      </c>
      <c r="M52" s="111">
        <f>('Pivot Table for Data Exchange'!$C$354)*100</f>
        <v>8.3429847914174466</v>
      </c>
      <c r="N52" s="111">
        <f>('Pivot Table for Data Exchange'!$C$357)*100</f>
        <v>0.52355854812454983</v>
      </c>
      <c r="O52" s="121">
        <f>('Pivot Table for Data Exchange'!$C$360)*100</f>
        <v>8.3134751277958815E-2</v>
      </c>
      <c r="P52" s="111">
        <f>('Pivot Table for Data Exchange'!$C$363)*100</f>
        <v>0</v>
      </c>
      <c r="Q52" s="160">
        <f t="shared" si="3"/>
        <v>100.00000000000001</v>
      </c>
      <c r="R52" s="160">
        <f t="shared" si="2"/>
        <v>100</v>
      </c>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row>
    <row r="53" spans="1:41" ht="15.75" customHeight="1">
      <c r="A53" s="118" t="s">
        <v>663</v>
      </c>
      <c r="B53" s="111">
        <f>('Pivot Table for Data Exchange'!$C$366)*100</f>
        <v>94.139386772580551</v>
      </c>
      <c r="C53" s="111">
        <f>('Pivot Table for Data Exchange'!$C$369)*100</f>
        <v>8.8229283793219995E-2</v>
      </c>
      <c r="D53" s="173">
        <f t="shared" si="8"/>
        <v>5.6918057173738079</v>
      </c>
      <c r="E53" s="111">
        <f>('Pivot Table for Data Exchange'!$C$372)*100</f>
        <v>5.4517174687202488</v>
      </c>
      <c r="F53" s="111">
        <f>('Pivot Table for Data Exchange'!$C$375)*100</f>
        <v>2.4986998044622129E-2</v>
      </c>
      <c r="G53" s="119">
        <f>('Pivot Table for Data Exchange'!$C$378)*100</f>
        <v>0.21510125060893701</v>
      </c>
      <c r="H53" s="111">
        <f>('Pivot Table for Data Exchange'!$C$381)*100</f>
        <v>8.0578226252424862E-2</v>
      </c>
      <c r="I53" s="118" t="s">
        <v>663</v>
      </c>
      <c r="J53" s="111">
        <f>('Pivot Table for Data Exchange'!$C$384)*100</f>
        <v>78.712680620484491</v>
      </c>
      <c r="K53" s="111">
        <f>('Pivot Table for Data Exchange'!$C$387)*100</f>
        <v>7.8921855078623038</v>
      </c>
      <c r="L53" s="173">
        <f t="shared" si="9"/>
        <v>13.207872928176796</v>
      </c>
      <c r="M53" s="111">
        <f>('Pivot Table for Data Exchange'!$C$390)*100</f>
        <v>11.103511474713132</v>
      </c>
      <c r="N53" s="111">
        <f>('Pivot Table for Data Exchange'!$C$393)*100</f>
        <v>0.63549192520187003</v>
      </c>
      <c r="O53" s="119">
        <f>('Pivot Table for Data Exchange'!$C$396)*100</f>
        <v>1.4688695282617934</v>
      </c>
      <c r="P53" s="111">
        <f>('Pivot Table for Data Exchange'!$C$399)*100</f>
        <v>0.18726094347641309</v>
      </c>
      <c r="Q53" s="160">
        <f t="shared" si="3"/>
        <v>100.00000000000001</v>
      </c>
      <c r="R53" s="160">
        <f t="shared" si="2"/>
        <v>100.00000000000001</v>
      </c>
      <c r="S53" s="116"/>
      <c r="T53" s="132"/>
      <c r="U53" s="116"/>
      <c r="V53" s="116"/>
      <c r="W53" s="116"/>
      <c r="X53" s="116"/>
      <c r="Y53" s="116"/>
      <c r="Z53" s="116"/>
      <c r="AA53" s="116"/>
      <c r="AB53" s="116"/>
      <c r="AC53" s="116"/>
      <c r="AD53" s="116"/>
      <c r="AE53" s="116"/>
      <c r="AF53" s="116"/>
      <c r="AG53" s="116"/>
      <c r="AH53" s="116"/>
      <c r="AI53" s="116"/>
      <c r="AJ53" s="116"/>
      <c r="AK53" s="116"/>
      <c r="AL53" s="116"/>
      <c r="AM53" s="116"/>
      <c r="AN53" s="116"/>
      <c r="AO53" s="116"/>
    </row>
    <row r="54" spans="1:41" ht="15.75" customHeight="1">
      <c r="A54" s="118" t="s">
        <v>664</v>
      </c>
      <c r="B54" s="111">
        <f>('Pivot Table for Data Exchange'!$C$402)*100</f>
        <v>94.914042279863224</v>
      </c>
      <c r="C54" s="111">
        <f>('Pivot Table for Data Exchange'!$C$405)*100</f>
        <v>1.6909111518334499</v>
      </c>
      <c r="D54" s="173">
        <f>SUM(E54:G54)</f>
        <v>3.3950465683033269</v>
      </c>
      <c r="E54" s="111">
        <f>('Pivot Table for Data Exchange'!$C$408)*100</f>
        <v>2.8458617497591292</v>
      </c>
      <c r="F54" s="111">
        <f>('Pivot Table for Data Exchange'!$C$411)*100</f>
        <v>0.22651276141537413</v>
      </c>
      <c r="G54" s="119">
        <f>('Pivot Table for Data Exchange'!$C$414)*100</f>
        <v>0.32267205712882324</v>
      </c>
      <c r="H54" s="111">
        <f>('Pivot Table for Data Exchange'!$C$417)*100</f>
        <v>0</v>
      </c>
      <c r="I54" s="118" t="s">
        <v>664</v>
      </c>
      <c r="J54" s="111">
        <f>('Pivot Table for Data Exchange'!$C$420)*100</f>
        <v>69.773804671316014</v>
      </c>
      <c r="K54" s="111">
        <f>('Pivot Table for Data Exchange'!$C$423)*100</f>
        <v>11.113778874662884</v>
      </c>
      <c r="L54" s="173">
        <f>SUM(M54:O54)</f>
        <v>19.112416454021094</v>
      </c>
      <c r="M54" s="111">
        <f>('Pivot Table for Data Exchange'!$C$426)*100</f>
        <v>14.907338645284851</v>
      </c>
      <c r="N54" s="120">
        <f>('Pivot Table for Data Exchange'!$C$429)*100</f>
        <v>0</v>
      </c>
      <c r="O54" s="119">
        <f>('Pivot Table for Data Exchange'!$C$432)*100</f>
        <v>4.2050778087362435</v>
      </c>
      <c r="P54" s="111">
        <f>('Pivot Table for Data Exchange'!$C$435)*100</f>
        <v>0</v>
      </c>
      <c r="Q54" s="160">
        <f t="shared" si="3"/>
        <v>100</v>
      </c>
      <c r="R54" s="160">
        <f t="shared" si="2"/>
        <v>100</v>
      </c>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row>
    <row r="55" spans="1:41" ht="14.25" customHeight="1">
      <c r="A55" s="118"/>
      <c r="B55" s="111"/>
      <c r="C55" s="111"/>
      <c r="D55" s="173"/>
      <c r="E55" s="111"/>
      <c r="F55" s="111"/>
      <c r="G55" s="119"/>
      <c r="H55" s="111"/>
      <c r="I55" s="118"/>
      <c r="J55" s="111"/>
      <c r="K55" s="111"/>
      <c r="L55" s="173"/>
      <c r="M55" s="111"/>
      <c r="N55" s="111"/>
      <c r="O55" s="119"/>
      <c r="P55" s="111"/>
      <c r="Q55" s="160">
        <f t="shared" si="3"/>
        <v>0</v>
      </c>
      <c r="R55" s="160">
        <f t="shared" si="2"/>
        <v>0</v>
      </c>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row>
    <row r="56" spans="1:41" ht="15.75" customHeight="1">
      <c r="A56" s="118" t="s">
        <v>665</v>
      </c>
      <c r="B56" s="111">
        <f>('Pivot Table for Data Exchange'!$C$438)*100</f>
        <v>85.836984420411156</v>
      </c>
      <c r="C56" s="111">
        <f>('Pivot Table for Data Exchange'!$C$441)*100</f>
        <v>0.95195120886158868</v>
      </c>
      <c r="D56" s="173">
        <f>SUM(E56:G56)</f>
        <v>12.911408373483162</v>
      </c>
      <c r="E56" s="111">
        <f>('Pivot Table for Data Exchange'!$C$444)*100</f>
        <v>3.3468702541932918</v>
      </c>
      <c r="F56" s="111">
        <f>('Pivot Table for Data Exchange'!$C$447)*100</f>
        <v>0.16370455548924565</v>
      </c>
      <c r="G56" s="119">
        <f>('Pivot Table for Data Exchange'!$C$450)*100</f>
        <v>9.4008335638006244</v>
      </c>
      <c r="H56" s="111">
        <f>('Pivot Table for Data Exchange'!$C$453)*100</f>
        <v>0.29965599724409642</v>
      </c>
      <c r="I56" s="118" t="s">
        <v>665</v>
      </c>
      <c r="J56" s="111">
        <f>('Pivot Table for Data Exchange'!$C$456)*100</f>
        <v>75.898341712757613</v>
      </c>
      <c r="K56" s="111">
        <f>('Pivot Table for Data Exchange'!$C$459)*100</f>
        <v>5.4682527543554089</v>
      </c>
      <c r="L56" s="173">
        <f>SUM(M56:O56)</f>
        <v>15.568460471977858</v>
      </c>
      <c r="M56" s="111">
        <f>('Pivot Table for Data Exchange'!$C$462)*100</f>
        <v>9.1055314068058362</v>
      </c>
      <c r="N56" s="111">
        <f>('Pivot Table for Data Exchange'!$C$465)*100</f>
        <v>0.10953280803635305</v>
      </c>
      <c r="O56" s="119">
        <f>('Pivot Table for Data Exchange'!$C$468)*100</f>
        <v>6.3533962571356684</v>
      </c>
      <c r="P56" s="111">
        <f>('Pivot Table for Data Exchange'!$C$471)*100</f>
        <v>3.0649450609091224</v>
      </c>
      <c r="Q56" s="160">
        <f t="shared" si="3"/>
        <v>100.00000000000001</v>
      </c>
      <c r="R56" s="160">
        <f t="shared" si="2"/>
        <v>100</v>
      </c>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row>
    <row r="57" spans="1:41" ht="15.75" customHeight="1">
      <c r="A57" s="118" t="s">
        <v>666</v>
      </c>
      <c r="B57" s="111">
        <f>('Pivot Table for Data Exchange'!$C$474)*100</f>
        <v>93.805970679211171</v>
      </c>
      <c r="C57" s="111">
        <f>('Pivot Table for Data Exchange'!$C$477)*100</f>
        <v>0.82504410495101532</v>
      </c>
      <c r="D57" s="173">
        <f>SUM(E57:G57)</f>
        <v>5.3689852158378111</v>
      </c>
      <c r="E57" s="111">
        <f>('Pivot Table for Data Exchange'!$C$480)*100</f>
        <v>4.4916948779416401</v>
      </c>
      <c r="F57" s="111">
        <f>('Pivot Table for Data Exchange'!$C$483)*100</f>
        <v>1.2376777513221341E-2</v>
      </c>
      <c r="G57" s="119">
        <f>('Pivot Table for Data Exchange'!$C$486)*100</f>
        <v>0.86491356038294975</v>
      </c>
      <c r="H57" s="111">
        <f>('Pivot Table for Data Exchange'!$C$489)*100</f>
        <v>0</v>
      </c>
      <c r="I57" s="118" t="s">
        <v>666</v>
      </c>
      <c r="J57" s="111">
        <f>('Pivot Table for Data Exchange'!$C$492)*100</f>
        <v>89.436733210852182</v>
      </c>
      <c r="K57" s="111">
        <f>('Pivot Table for Data Exchange'!$C$495)*100</f>
        <v>2.3387648938154832</v>
      </c>
      <c r="L57" s="173">
        <f>SUM(M57:O57)</f>
        <v>8.2245018953323363</v>
      </c>
      <c r="M57" s="111">
        <f>('Pivot Table for Data Exchange'!$C$498)*100</f>
        <v>7.934219612416503</v>
      </c>
      <c r="N57" s="111">
        <f>('Pivot Table for Data Exchange'!$C$501)*100</f>
        <v>0.11984399769102519</v>
      </c>
      <c r="O57" s="119">
        <f>('Pivot Table for Data Exchange'!$C$504)*100</f>
        <v>0.17043828522480761</v>
      </c>
      <c r="P57" s="111">
        <f>('Pivot Table for Data Exchange'!$C$507)*100</f>
        <v>0</v>
      </c>
      <c r="Q57" s="160">
        <f t="shared" si="3"/>
        <v>100</v>
      </c>
      <c r="R57" s="160">
        <f t="shared" si="2"/>
        <v>100</v>
      </c>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row>
    <row r="58" spans="1:41" ht="15.75" customHeight="1">
      <c r="A58" s="118" t="s">
        <v>667</v>
      </c>
      <c r="B58" s="111">
        <f>('Pivot Table for Data Exchange'!$C$510)*100</f>
        <v>0</v>
      </c>
      <c r="C58" s="111">
        <f>('Pivot Table for Data Exchange'!$C$513)*100</f>
        <v>0</v>
      </c>
      <c r="D58" s="173">
        <f t="shared" ref="D58" si="10">SUM(E58:G58)</f>
        <v>0</v>
      </c>
      <c r="E58" s="111">
        <f>('Pivot Table for Data Exchange'!$C$516)*100</f>
        <v>0</v>
      </c>
      <c r="F58" s="111">
        <f>('Pivot Table for Data Exchange'!$C$519)*100</f>
        <v>0</v>
      </c>
      <c r="G58" s="119">
        <f>('Pivot Table for Data Exchange'!$C$522)*100</f>
        <v>0</v>
      </c>
      <c r="H58" s="111">
        <f>('Pivot Table for Data Exchange'!$C$525)*100</f>
        <v>0</v>
      </c>
      <c r="I58" s="118" t="s">
        <v>667</v>
      </c>
      <c r="J58" s="111">
        <f>('Pivot Table for Data Exchange'!$C$528)*100</f>
        <v>0</v>
      </c>
      <c r="K58" s="111">
        <f>('Pivot Table for Data Exchange'!$C$531)*100</f>
        <v>0</v>
      </c>
      <c r="L58" s="173">
        <f t="shared" ref="L58" si="11">SUM(M58:O58)</f>
        <v>0</v>
      </c>
      <c r="M58" s="111">
        <f>('Pivot Table for Data Exchange'!$C$534)*100</f>
        <v>0</v>
      </c>
      <c r="N58" s="111">
        <f>('Pivot Table for Data Exchange'!$C$537)*100</f>
        <v>0</v>
      </c>
      <c r="O58" s="119">
        <f>('Pivot Table for Data Exchange'!$C$540)*100</f>
        <v>0</v>
      </c>
      <c r="P58" s="111">
        <f>('Pivot Table for Data Exchange'!$C$543)*100</f>
        <v>0</v>
      </c>
      <c r="Q58" s="160">
        <f t="shared" si="3"/>
        <v>0</v>
      </c>
      <c r="R58" s="160">
        <f t="shared" si="2"/>
        <v>0</v>
      </c>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row>
    <row r="59" spans="1:41" ht="15.75" customHeight="1">
      <c r="A59" s="91" t="s">
        <v>668</v>
      </c>
      <c r="B59" s="122">
        <f>('Pivot Table for Data Exchange'!$C$546)*100</f>
        <v>93.840763786928932</v>
      </c>
      <c r="C59" s="122">
        <f>('Pivot Table for Data Exchange'!$C$549)*100</f>
        <v>0.10875729256488538</v>
      </c>
      <c r="D59" s="174">
        <f>SUM(E59:G59)</f>
        <v>6.0504789205061877</v>
      </c>
      <c r="E59" s="122">
        <f>('Pivot Table for Data Exchange'!$C$552)*100</f>
        <v>5.6704498667723167</v>
      </c>
      <c r="F59" s="122">
        <f>('Pivot Table for Data Exchange'!$C$555)*100</f>
        <v>2.3305134121046869E-3</v>
      </c>
      <c r="G59" s="124">
        <f>('Pivot Table for Data Exchange'!$C$558)*100</f>
        <v>0.3776985403217662</v>
      </c>
      <c r="H59" s="125">
        <f>('Pivot Table for Data Exchange'!$C$561)*100</f>
        <v>0</v>
      </c>
      <c r="I59" s="91" t="s">
        <v>668</v>
      </c>
      <c r="J59" s="122">
        <f>('Pivot Table for Data Exchange'!$C$564)*100</f>
        <v>67.35978209590273</v>
      </c>
      <c r="K59" s="122">
        <f>('Pivot Table for Data Exchange'!$C$567)*100</f>
        <v>9.0917992220254042</v>
      </c>
      <c r="L59" s="174">
        <f>SUM(M59:O59)</f>
        <v>23.548418682071869</v>
      </c>
      <c r="M59" s="122">
        <f>('Pivot Table for Data Exchange'!$C$570)*100</f>
        <v>20.44809200395218</v>
      </c>
      <c r="N59" s="122">
        <f>('Pivot Table for Data Exchange'!$C$573)*100</f>
        <v>2.6730637422892394</v>
      </c>
      <c r="O59" s="124">
        <f>('Pivot Table for Data Exchange'!$C$576)*100</f>
        <v>0.42726293583044783</v>
      </c>
      <c r="P59" s="122">
        <f>('Pivot Table for Data Exchange'!$C$579)*100</f>
        <v>0</v>
      </c>
      <c r="Q59" s="160">
        <f t="shared" si="3"/>
        <v>100.00000000000001</v>
      </c>
      <c r="R59" s="160">
        <f t="shared" si="2"/>
        <v>100</v>
      </c>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row>
    <row r="60" spans="1:41" s="60" customFormat="1" ht="18" customHeight="1">
      <c r="A60" s="58" t="s">
        <v>697</v>
      </c>
      <c r="B60" s="126"/>
      <c r="C60" s="126"/>
      <c r="D60" s="127"/>
      <c r="E60" s="126"/>
      <c r="F60" s="127"/>
      <c r="G60" s="127"/>
      <c r="H60" s="126"/>
      <c r="I60" s="58" t="s">
        <v>697</v>
      </c>
      <c r="J60" s="126"/>
      <c r="K60" s="126"/>
      <c r="L60" s="127"/>
      <c r="M60" s="126"/>
      <c r="N60" s="127"/>
      <c r="O60" s="127"/>
      <c r="P60" s="126"/>
      <c r="Q60" s="160"/>
      <c r="R60" s="160"/>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row>
    <row r="61" spans="1:41" s="60" customFormat="1" ht="24" customHeight="1">
      <c r="A61" s="649" t="s">
        <v>701</v>
      </c>
      <c r="B61" s="654"/>
      <c r="C61" s="654"/>
      <c r="D61" s="654"/>
      <c r="E61" s="654"/>
      <c r="F61" s="654"/>
      <c r="G61" s="654"/>
      <c r="H61" s="654"/>
      <c r="I61" s="649" t="s">
        <v>701</v>
      </c>
      <c r="J61" s="654"/>
      <c r="K61" s="654"/>
      <c r="L61" s="654"/>
      <c r="M61" s="654"/>
      <c r="N61" s="654"/>
      <c r="O61" s="654"/>
      <c r="P61" s="654"/>
      <c r="Q61" s="160"/>
      <c r="R61" s="160"/>
    </row>
    <row r="62" spans="1:41" s="60" customFormat="1" ht="13.5" customHeight="1">
      <c r="A62" s="134"/>
      <c r="B62" s="135"/>
      <c r="H62" s="62"/>
      <c r="I62" s="134"/>
      <c r="P62" s="136"/>
      <c r="Q62" s="160"/>
      <c r="R62" s="160"/>
    </row>
    <row r="63" spans="1:41" s="60" customFormat="1" ht="13.5" customHeight="1">
      <c r="H63" s="64" t="s">
        <v>1034</v>
      </c>
      <c r="P63" s="64" t="s">
        <v>1034</v>
      </c>
      <c r="Q63" s="160"/>
      <c r="R63" s="160"/>
    </row>
    <row r="64" spans="1:41" ht="18">
      <c r="A64" s="31" t="s">
        <v>1013</v>
      </c>
      <c r="B64" s="86"/>
      <c r="C64" s="86"/>
      <c r="D64" s="86"/>
      <c r="E64" s="86"/>
      <c r="F64" s="86"/>
      <c r="G64" s="86"/>
      <c r="H64" s="87"/>
      <c r="I64" s="31" t="s">
        <v>1028</v>
      </c>
      <c r="J64" s="38"/>
      <c r="K64" s="38"/>
      <c r="L64" s="86"/>
      <c r="M64" s="38"/>
      <c r="N64" s="38"/>
      <c r="O64" s="38"/>
      <c r="P64" s="38"/>
      <c r="Q64" s="160"/>
      <c r="R64" s="160"/>
    </row>
    <row r="65" spans="1:41">
      <c r="A65" s="37"/>
      <c r="B65" s="38"/>
      <c r="C65" s="38"/>
      <c r="D65" s="38"/>
      <c r="E65" s="38"/>
      <c r="F65" s="38"/>
      <c r="G65" s="38"/>
      <c r="H65" s="88"/>
      <c r="I65" s="37"/>
      <c r="J65" s="38"/>
      <c r="K65" s="38"/>
      <c r="L65" s="38"/>
      <c r="M65" s="38"/>
      <c r="N65" s="38"/>
      <c r="O65" s="38"/>
      <c r="P65" s="38"/>
      <c r="Q65" s="160"/>
      <c r="R65" s="160"/>
    </row>
    <row r="66" spans="1:41" ht="15.75">
      <c r="A66" s="89" t="s">
        <v>683</v>
      </c>
      <c r="B66" s="38"/>
      <c r="C66" s="38"/>
      <c r="D66" s="38"/>
      <c r="E66" s="38"/>
      <c r="F66" s="38"/>
      <c r="G66" s="38"/>
      <c r="H66" s="88"/>
      <c r="I66" s="89" t="s">
        <v>684</v>
      </c>
      <c r="J66" s="38"/>
      <c r="K66" s="38"/>
      <c r="L66" s="38"/>
      <c r="M66" s="38"/>
      <c r="N66" s="38"/>
      <c r="O66" s="38"/>
      <c r="P66" s="38"/>
      <c r="Q66" s="160"/>
      <c r="R66" s="160"/>
    </row>
    <row r="67" spans="1:41" ht="15.75">
      <c r="A67" s="89" t="s">
        <v>991</v>
      </c>
      <c r="B67" s="38"/>
      <c r="C67" s="38"/>
      <c r="D67" s="38"/>
      <c r="E67" s="38"/>
      <c r="F67" s="38"/>
      <c r="G67" s="38"/>
      <c r="H67" s="88"/>
      <c r="I67" s="89" t="s">
        <v>991</v>
      </c>
      <c r="J67" s="38"/>
      <c r="K67" s="38"/>
      <c r="L67" s="38"/>
      <c r="M67" s="38"/>
      <c r="N67" s="38"/>
      <c r="O67" s="38"/>
      <c r="P67" s="38"/>
      <c r="Q67" s="160"/>
      <c r="R67" s="160"/>
    </row>
    <row r="68" spans="1:41">
      <c r="A68" s="91"/>
      <c r="B68" s="92"/>
      <c r="C68" s="92"/>
      <c r="D68" s="92"/>
      <c r="E68" s="92"/>
      <c r="F68" s="92"/>
      <c r="G68" s="92"/>
      <c r="H68" s="92"/>
      <c r="I68" s="93"/>
      <c r="L68" s="94"/>
      <c r="P68" s="91"/>
      <c r="Q68" s="160"/>
      <c r="R68" s="160"/>
    </row>
    <row r="69" spans="1:41" s="100" customFormat="1">
      <c r="A69" s="95"/>
      <c r="B69" s="96" t="s">
        <v>685</v>
      </c>
      <c r="C69" s="96"/>
      <c r="D69" s="96"/>
      <c r="E69" s="96"/>
      <c r="F69" s="96"/>
      <c r="G69" s="96"/>
      <c r="H69" s="97"/>
      <c r="I69" s="95"/>
      <c r="J69" s="96" t="s">
        <v>685</v>
      </c>
      <c r="K69" s="96"/>
      <c r="L69" s="96"/>
      <c r="M69" s="96"/>
      <c r="N69" s="96"/>
      <c r="O69" s="96"/>
      <c r="P69" s="97"/>
      <c r="Q69" s="160"/>
      <c r="R69" s="160"/>
    </row>
    <row r="70" spans="1:41" s="100" customFormat="1">
      <c r="A70" s="95"/>
      <c r="B70" s="96" t="s">
        <v>686</v>
      </c>
      <c r="C70" s="96"/>
      <c r="D70" s="647" t="s">
        <v>687</v>
      </c>
      <c r="E70" s="648"/>
      <c r="F70" s="648"/>
      <c r="G70" s="648"/>
      <c r="H70" s="101" t="s">
        <v>59</v>
      </c>
      <c r="I70" s="95"/>
      <c r="J70" s="96" t="s">
        <v>686</v>
      </c>
      <c r="K70" s="96"/>
      <c r="L70" s="647" t="s">
        <v>687</v>
      </c>
      <c r="M70" s="648"/>
      <c r="N70" s="648"/>
      <c r="O70" s="648"/>
      <c r="P70" s="101" t="s">
        <v>59</v>
      </c>
      <c r="Q70" s="160"/>
      <c r="R70" s="160"/>
    </row>
    <row r="71" spans="1:41" s="100" customFormat="1" ht="40.5" customHeight="1">
      <c r="A71" s="95"/>
      <c r="B71" s="102" t="s">
        <v>688</v>
      </c>
      <c r="C71" s="103" t="s">
        <v>689</v>
      </c>
      <c r="D71" s="104" t="s">
        <v>690</v>
      </c>
      <c r="E71" s="105" t="s">
        <v>9</v>
      </c>
      <c r="F71" s="102" t="s">
        <v>691</v>
      </c>
      <c r="G71" s="106" t="s">
        <v>692</v>
      </c>
      <c r="H71" s="107" t="s">
        <v>693</v>
      </c>
      <c r="I71" s="95"/>
      <c r="J71" s="102" t="s">
        <v>688</v>
      </c>
      <c r="K71" s="103" t="s">
        <v>689</v>
      </c>
      <c r="L71" s="104" t="s">
        <v>690</v>
      </c>
      <c r="M71" s="105" t="s">
        <v>9</v>
      </c>
      <c r="N71" s="102" t="s">
        <v>691</v>
      </c>
      <c r="O71" s="106" t="s">
        <v>692</v>
      </c>
      <c r="P71" s="107" t="s">
        <v>693</v>
      </c>
      <c r="Q71" s="160"/>
      <c r="R71" s="160"/>
      <c r="T71" s="131"/>
    </row>
    <row r="72" spans="1:41" ht="15.75" customHeight="1">
      <c r="A72" s="115" t="s">
        <v>653</v>
      </c>
      <c r="B72" s="111">
        <f>('Pivot Table for Data Exchange'!$D$6)*100</f>
        <v>99.309003850830962</v>
      </c>
      <c r="C72" s="111">
        <f>('Pivot Table for Data Exchange'!$D$9)*100</f>
        <v>0</v>
      </c>
      <c r="D72" s="173">
        <f>SUM(E72:G72)</f>
        <v>0.69099614916903118</v>
      </c>
      <c r="E72" s="111">
        <f>('Pivot Table for Data Exchange'!$D$12)*100</f>
        <v>0.69099614916903118</v>
      </c>
      <c r="F72" s="111">
        <f>('Pivot Table for Data Exchange'!$D$15)*100</f>
        <v>0</v>
      </c>
      <c r="G72" s="113">
        <f>('Pivot Table for Data Exchange'!$D$18)*100</f>
        <v>0</v>
      </c>
      <c r="H72" s="120">
        <f>('Pivot Table for Data Exchange'!$D$21)*100</f>
        <v>0</v>
      </c>
      <c r="I72" s="115" t="s">
        <v>653</v>
      </c>
      <c r="J72" s="111">
        <f>('Pivot Table for Data Exchange'!$D$24)*100</f>
        <v>84.343219336833641</v>
      </c>
      <c r="K72" s="111">
        <f>('Pivot Table for Data Exchange'!$D$27)*100</f>
        <v>0</v>
      </c>
      <c r="L72" s="173">
        <f>SUM(M72:O72)</f>
        <v>15.65678066316636</v>
      </c>
      <c r="M72" s="111">
        <f>('Pivot Table for Data Exchange'!$D$30)*100</f>
        <v>15.585828484934488</v>
      </c>
      <c r="N72" s="111">
        <f>('Pivot Table for Data Exchange'!$D$33)*100</f>
        <v>0</v>
      </c>
      <c r="O72" s="113">
        <f>('Pivot Table for Data Exchange'!$D$36)*100</f>
        <v>7.0952178231871721E-2</v>
      </c>
      <c r="P72" s="111">
        <f>('Pivot Table for Data Exchange'!$D$39)*100</f>
        <v>0</v>
      </c>
      <c r="Q72" s="160">
        <f t="shared" si="3"/>
        <v>100</v>
      </c>
      <c r="R72" s="160">
        <f t="shared" si="2"/>
        <v>100</v>
      </c>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row>
    <row r="73" spans="1:41" ht="15.75" customHeight="1">
      <c r="A73" s="118" t="s">
        <v>654</v>
      </c>
      <c r="B73" s="111">
        <f>('Pivot Table for Data Exchange'!$D$42)*100</f>
        <v>0</v>
      </c>
      <c r="C73" s="111">
        <f>('Pivot Table for Data Exchange'!$D$45)*100</f>
        <v>0</v>
      </c>
      <c r="D73" s="173">
        <f t="shared" ref="D73:D75" si="12">SUM(E73:G73)</f>
        <v>0</v>
      </c>
      <c r="E73" s="111">
        <f>('Pivot Table for Data Exchange'!$D$48)*100</f>
        <v>0</v>
      </c>
      <c r="F73" s="111">
        <f>('Pivot Table for Data Exchange'!$D$51)*100</f>
        <v>0</v>
      </c>
      <c r="G73" s="119">
        <f>('Pivot Table for Data Exchange'!$D$54)*100</f>
        <v>0</v>
      </c>
      <c r="H73" s="111">
        <f>('Pivot Table for Data Exchange'!$D$57)*100</f>
        <v>0</v>
      </c>
      <c r="I73" s="118" t="s">
        <v>654</v>
      </c>
      <c r="J73" s="111">
        <f>('Pivot Table for Data Exchange'!$D$60)*100</f>
        <v>0</v>
      </c>
      <c r="K73" s="111">
        <f>('Pivot Table for Data Exchange'!$D$63)*100</f>
        <v>0</v>
      </c>
      <c r="L73" s="173">
        <f t="shared" ref="L73:L75" si="13">SUM(M73:O73)</f>
        <v>0</v>
      </c>
      <c r="M73" s="111">
        <f>('Pivot Table for Data Exchange'!$D$66)*100</f>
        <v>0</v>
      </c>
      <c r="N73" s="111">
        <f>('Pivot Table for Data Exchange'!$D$69)*100</f>
        <v>0</v>
      </c>
      <c r="O73" s="119">
        <f>('Pivot Table for Data Exchange'!$D$72)*100</f>
        <v>0</v>
      </c>
      <c r="P73" s="120">
        <f>('Pivot Table for Data Exchange'!$D$75)*100</f>
        <v>0</v>
      </c>
      <c r="Q73" s="160">
        <f t="shared" si="3"/>
        <v>0</v>
      </c>
      <c r="R73" s="160">
        <f t="shared" si="2"/>
        <v>0</v>
      </c>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row>
    <row r="74" spans="1:41" ht="15.75" customHeight="1">
      <c r="A74" s="118" t="s">
        <v>655</v>
      </c>
      <c r="B74" s="111">
        <f>('Pivot Table for Data Exchange'!$D$78)*100</f>
        <v>0</v>
      </c>
      <c r="C74" s="111">
        <f>('Pivot Table for Data Exchange'!$D$81)*100</f>
        <v>0</v>
      </c>
      <c r="D74" s="173">
        <f t="shared" si="12"/>
        <v>0</v>
      </c>
      <c r="E74" s="111">
        <f>('Pivot Table for Data Exchange'!$D$84)*100</f>
        <v>0</v>
      </c>
      <c r="F74" s="111">
        <f>('Pivot Table for Data Exchange'!$D$87)*100</f>
        <v>0</v>
      </c>
      <c r="G74" s="119">
        <f>('Pivot Table for Data Exchange'!$D$90)*100</f>
        <v>0</v>
      </c>
      <c r="H74" s="111">
        <f>('Pivot Table for Data Exchange'!$D$93)*100</f>
        <v>0</v>
      </c>
      <c r="I74" s="118" t="s">
        <v>655</v>
      </c>
      <c r="J74" s="111">
        <f>('Pivot Table for Data Exchange'!$D$96)*100</f>
        <v>0</v>
      </c>
      <c r="K74" s="111">
        <f>('Pivot Table for Data Exchange'!$D$99)*100</f>
        <v>0</v>
      </c>
      <c r="L74" s="173">
        <f t="shared" si="13"/>
        <v>0</v>
      </c>
      <c r="M74" s="111">
        <f>('Pivot Table for Data Exchange'!$D$102)*100</f>
        <v>0</v>
      </c>
      <c r="N74" s="111">
        <f>('Pivot Table for Data Exchange'!$D$105)*100</f>
        <v>0</v>
      </c>
      <c r="O74" s="119">
        <f>('Pivot Table for Data Exchange'!$D$108)*100</f>
        <v>0</v>
      </c>
      <c r="P74" s="111">
        <f>('Pivot Table for Data Exchange'!$D$111)*100</f>
        <v>0</v>
      </c>
      <c r="Q74" s="160">
        <f t="shared" si="3"/>
        <v>0</v>
      </c>
      <c r="R74" s="160">
        <f t="shared" si="2"/>
        <v>0</v>
      </c>
      <c r="S74" s="116"/>
      <c r="T74" s="132"/>
      <c r="U74" s="116"/>
      <c r="V74" s="116"/>
      <c r="W74" s="116"/>
      <c r="X74" s="116"/>
      <c r="Y74" s="116"/>
      <c r="Z74" s="116"/>
      <c r="AA74" s="116"/>
      <c r="AB74" s="116"/>
      <c r="AC74" s="116"/>
      <c r="AD74" s="116"/>
      <c r="AE74" s="116"/>
      <c r="AF74" s="116"/>
      <c r="AG74" s="116"/>
      <c r="AH74" s="116"/>
      <c r="AI74" s="116"/>
      <c r="AJ74" s="116"/>
      <c r="AK74" s="116"/>
      <c r="AL74" s="116"/>
      <c r="AM74" s="116"/>
      <c r="AN74" s="116"/>
      <c r="AO74" s="116"/>
    </row>
    <row r="75" spans="1:41" ht="15.75" customHeight="1">
      <c r="A75" s="118" t="s">
        <v>695</v>
      </c>
      <c r="B75" s="111">
        <f>('Pivot Table for Data Exchange'!$D$114)*100</f>
        <v>72.618579421498637</v>
      </c>
      <c r="C75" s="111">
        <f>('Pivot Table for Data Exchange'!$D$117)*100</f>
        <v>21.253023849453108</v>
      </c>
      <c r="D75" s="173">
        <f t="shared" si="12"/>
        <v>6.1283967290482479</v>
      </c>
      <c r="E75" s="111">
        <f>('Pivot Table for Data Exchange'!$D$120)*100</f>
        <v>4.706445437141034</v>
      </c>
      <c r="F75" s="111">
        <f>('Pivot Table for Data Exchange'!$D$123)*100</f>
        <v>1.2310592006648757</v>
      </c>
      <c r="G75" s="119">
        <f>('Pivot Table for Data Exchange'!$D$126)*100</f>
        <v>0.19089209124233836</v>
      </c>
      <c r="H75" s="111">
        <f>('Pivot Table for Data Exchange'!$D$129)*100</f>
        <v>0</v>
      </c>
      <c r="I75" s="118" t="s">
        <v>695</v>
      </c>
      <c r="J75" s="111">
        <f>('Pivot Table for Data Exchange'!$D$132)*100</f>
        <v>52.940428022495354</v>
      </c>
      <c r="K75" s="111">
        <f>('Pivot Table for Data Exchange'!$D$135)*100</f>
        <v>21.709036313204571</v>
      </c>
      <c r="L75" s="173">
        <f t="shared" si="13"/>
        <v>25.350535664300075</v>
      </c>
      <c r="M75" s="111">
        <f>('Pivot Table for Data Exchange'!$D$138)*100</f>
        <v>20.730590121383312</v>
      </c>
      <c r="N75" s="111">
        <f>('Pivot Table for Data Exchange'!$D$141)*100</f>
        <v>3.1058350510217063</v>
      </c>
      <c r="O75" s="119">
        <f>('Pivot Table for Data Exchange'!$D$144)*100</f>
        <v>1.5141104918950554</v>
      </c>
      <c r="P75" s="111">
        <f>('Pivot Table for Data Exchange'!$D$147)*100</f>
        <v>0</v>
      </c>
      <c r="Q75" s="160">
        <f t="shared" ref="Q75:Q138" si="14">SUM(B75,C75,D75,H75)</f>
        <v>99.999999999999986</v>
      </c>
      <c r="R75" s="160">
        <f t="shared" ref="R75:R138" si="15">SUM(J75,K75,L75,P75)</f>
        <v>100</v>
      </c>
      <c r="S75" s="116"/>
      <c r="U75" s="116"/>
      <c r="V75" s="116"/>
      <c r="W75" s="116"/>
      <c r="X75" s="116"/>
      <c r="Y75" s="116"/>
      <c r="Z75" s="116"/>
      <c r="AA75" s="116"/>
      <c r="AB75" s="116"/>
      <c r="AC75" s="116"/>
      <c r="AD75" s="116"/>
      <c r="AE75" s="116"/>
      <c r="AF75" s="116"/>
      <c r="AG75" s="116"/>
      <c r="AH75" s="116"/>
      <c r="AI75" s="116"/>
      <c r="AJ75" s="116"/>
      <c r="AK75" s="116"/>
      <c r="AL75" s="116"/>
      <c r="AM75" s="116"/>
      <c r="AN75" s="116"/>
      <c r="AO75" s="116"/>
    </row>
    <row r="76" spans="1:41" ht="9" customHeight="1">
      <c r="A76" s="118"/>
      <c r="B76" s="111"/>
      <c r="C76" s="111"/>
      <c r="D76" s="173"/>
      <c r="E76" s="111"/>
      <c r="F76" s="111"/>
      <c r="G76" s="119"/>
      <c r="H76" s="111"/>
      <c r="I76" s="118"/>
      <c r="J76" s="111"/>
      <c r="K76" s="111"/>
      <c r="L76" s="173"/>
      <c r="M76" s="111"/>
      <c r="N76" s="111"/>
      <c r="O76" s="119"/>
      <c r="P76" s="111"/>
      <c r="Q76" s="160">
        <f t="shared" si="14"/>
        <v>0</v>
      </c>
      <c r="R76" s="160">
        <f t="shared" si="15"/>
        <v>0</v>
      </c>
      <c r="S76" s="116"/>
      <c r="U76" s="116"/>
      <c r="V76" s="116"/>
      <c r="W76" s="116"/>
      <c r="X76" s="116"/>
      <c r="Y76" s="116"/>
      <c r="Z76" s="116"/>
      <c r="AA76" s="116"/>
      <c r="AB76" s="116"/>
      <c r="AC76" s="116"/>
      <c r="AD76" s="116"/>
      <c r="AE76" s="116"/>
      <c r="AF76" s="116"/>
      <c r="AG76" s="116"/>
      <c r="AH76" s="116"/>
      <c r="AI76" s="116"/>
      <c r="AJ76" s="116"/>
      <c r="AK76" s="116"/>
      <c r="AL76" s="116"/>
      <c r="AM76" s="116"/>
      <c r="AN76" s="116"/>
      <c r="AO76" s="116"/>
    </row>
    <row r="77" spans="1:41" ht="15.75" customHeight="1">
      <c r="A77" s="118" t="s">
        <v>657</v>
      </c>
      <c r="B77" s="111">
        <f>('Pivot Table for Data Exchange'!$D$150)*100</f>
        <v>0</v>
      </c>
      <c r="C77" s="111">
        <f>('Pivot Table for Data Exchange'!$D$153)*100</f>
        <v>0</v>
      </c>
      <c r="D77" s="173">
        <f t="shared" ref="D77:D80" si="16">SUM(E77:G77)</f>
        <v>0</v>
      </c>
      <c r="E77" s="111">
        <f>('Pivot Table for Data Exchange'!$D$156)*100</f>
        <v>0</v>
      </c>
      <c r="F77" s="111">
        <f>('Pivot Table for Data Exchange'!$D$159)*100</f>
        <v>0</v>
      </c>
      <c r="G77" s="119">
        <f>('Pivot Table for Data Exchange'!$D$162)*100</f>
        <v>0</v>
      </c>
      <c r="H77" s="120">
        <f>('Pivot Table for Data Exchange'!$D$165)*100</f>
        <v>0</v>
      </c>
      <c r="I77" s="118" t="s">
        <v>657</v>
      </c>
      <c r="J77" s="111">
        <f>('Pivot Table for Data Exchange'!$D$168)*100</f>
        <v>0</v>
      </c>
      <c r="K77" s="111">
        <f>('Pivot Table for Data Exchange'!$D$171)*100</f>
        <v>0</v>
      </c>
      <c r="L77" s="173">
        <f t="shared" ref="L77:L80" si="17">SUM(M77:O77)</f>
        <v>0</v>
      </c>
      <c r="M77" s="111">
        <f>('Pivot Table for Data Exchange'!$D$174)*100</f>
        <v>0</v>
      </c>
      <c r="N77" s="111">
        <f>('Pivot Table for Data Exchange'!$D$177)*100</f>
        <v>0</v>
      </c>
      <c r="O77" s="121">
        <f>('Pivot Table for Data Exchange'!$D$180)*100</f>
        <v>0</v>
      </c>
      <c r="P77" s="114">
        <f>('Pivot Table for Data Exchange'!$D$183)*100</f>
        <v>0</v>
      </c>
      <c r="Q77" s="160">
        <f t="shared" si="14"/>
        <v>0</v>
      </c>
      <c r="R77" s="160">
        <f t="shared" si="15"/>
        <v>0</v>
      </c>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row>
    <row r="78" spans="1:41" ht="15.75" customHeight="1">
      <c r="A78" s="118" t="s">
        <v>658</v>
      </c>
      <c r="B78" s="111">
        <f>('Pivot Table for Data Exchange'!$D$186)*100</f>
        <v>0</v>
      </c>
      <c r="C78" s="111">
        <f>('Pivot Table for Data Exchange'!$D$189)*100</f>
        <v>0</v>
      </c>
      <c r="D78" s="173">
        <f t="shared" si="16"/>
        <v>0</v>
      </c>
      <c r="E78" s="111">
        <f>('Pivot Table for Data Exchange'!$D$192)*100</f>
        <v>0</v>
      </c>
      <c r="F78" s="111">
        <f>('Pivot Table for Data Exchange'!$D$195)*100</f>
        <v>0</v>
      </c>
      <c r="G78" s="119">
        <f>('Pivot Table for Data Exchange'!$D$198)*100</f>
        <v>0</v>
      </c>
      <c r="H78" s="111">
        <f>('Pivot Table for Data Exchange'!$D$201)*100</f>
        <v>0</v>
      </c>
      <c r="I78" s="118" t="s">
        <v>658</v>
      </c>
      <c r="J78" s="111">
        <f>('Pivot Table for Data Exchange'!$D$204)*100</f>
        <v>0</v>
      </c>
      <c r="K78" s="111">
        <f>('Pivot Table for Data Exchange'!$D$207)*100</f>
        <v>0</v>
      </c>
      <c r="L78" s="173">
        <f t="shared" si="17"/>
        <v>0</v>
      </c>
      <c r="M78" s="111">
        <f>('Pivot Table for Data Exchange'!$D$210)*100</f>
        <v>0</v>
      </c>
      <c r="N78" s="111">
        <f>('Pivot Table for Data Exchange'!$D$213)*100</f>
        <v>0</v>
      </c>
      <c r="O78" s="119">
        <f>('Pivot Table for Data Exchange'!$D$216)*100</f>
        <v>0</v>
      </c>
      <c r="P78" s="111">
        <f>('Pivot Table for Data Exchange'!$D$219)*100</f>
        <v>0</v>
      </c>
      <c r="Q78" s="160">
        <f t="shared" si="14"/>
        <v>0</v>
      </c>
      <c r="R78" s="160">
        <f t="shared" si="15"/>
        <v>0</v>
      </c>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row>
    <row r="79" spans="1:41" ht="15.75" customHeight="1">
      <c r="A79" s="118" t="s">
        <v>659</v>
      </c>
      <c r="B79" s="111">
        <f>('Pivot Table for Data Exchange'!$D$222)*100</f>
        <v>0</v>
      </c>
      <c r="C79" s="111">
        <f>('Pivot Table for Data Exchange'!$D$225)*100</f>
        <v>0</v>
      </c>
      <c r="D79" s="173">
        <f t="shared" si="16"/>
        <v>0</v>
      </c>
      <c r="E79" s="111">
        <f>('Pivot Table for Data Exchange'!$D$228)*100</f>
        <v>0</v>
      </c>
      <c r="F79" s="111">
        <f>('Pivot Table for Data Exchange'!$D$231)*100</f>
        <v>0</v>
      </c>
      <c r="G79" s="119">
        <f>('Pivot Table for Data Exchange'!$D$234)*100</f>
        <v>0</v>
      </c>
      <c r="H79" s="111">
        <f>('Pivot Table for Data Exchange'!$D$237)*100</f>
        <v>0</v>
      </c>
      <c r="I79" s="118" t="s">
        <v>659</v>
      </c>
      <c r="J79" s="111">
        <f>('Pivot Table for Data Exchange'!$D$240)*100</f>
        <v>0</v>
      </c>
      <c r="K79" s="111">
        <f>('Pivot Table for Data Exchange'!$D$243)*100</f>
        <v>0</v>
      </c>
      <c r="L79" s="173">
        <f t="shared" si="17"/>
        <v>0</v>
      </c>
      <c r="M79" s="111">
        <f>('Pivot Table for Data Exchange'!$D$246)*100</f>
        <v>0</v>
      </c>
      <c r="N79" s="111">
        <f>('Pivot Table for Data Exchange'!$D$249)*100</f>
        <v>0</v>
      </c>
      <c r="O79" s="121">
        <f>('Pivot Table for Data Exchange'!$D$252)*100</f>
        <v>0</v>
      </c>
      <c r="P79" s="111">
        <f>('Pivot Table for Data Exchange'!$D$255)*100</f>
        <v>0</v>
      </c>
      <c r="Q79" s="160">
        <f t="shared" si="14"/>
        <v>0</v>
      </c>
      <c r="R79" s="160">
        <f t="shared" si="15"/>
        <v>0</v>
      </c>
      <c r="S79" s="116"/>
      <c r="T79" s="132"/>
      <c r="U79" s="116"/>
      <c r="V79" s="116"/>
      <c r="W79" s="116"/>
      <c r="X79" s="116"/>
      <c r="Y79" s="116"/>
      <c r="Z79" s="116"/>
      <c r="AA79" s="116"/>
      <c r="AB79" s="116"/>
      <c r="AC79" s="116"/>
      <c r="AD79" s="116"/>
      <c r="AE79" s="116"/>
      <c r="AF79" s="116"/>
      <c r="AG79" s="116"/>
      <c r="AH79" s="116"/>
      <c r="AI79" s="116"/>
      <c r="AJ79" s="116"/>
      <c r="AK79" s="116"/>
      <c r="AL79" s="116"/>
      <c r="AM79" s="116"/>
      <c r="AN79" s="116"/>
      <c r="AO79" s="116"/>
    </row>
    <row r="80" spans="1:41" ht="15.75" customHeight="1">
      <c r="A80" s="118" t="s">
        <v>700</v>
      </c>
      <c r="B80" s="111">
        <f>('Pivot Table for Data Exchange'!$D$258)*100</f>
        <v>93.321648781644626</v>
      </c>
      <c r="C80" s="111">
        <f>('Pivot Table for Data Exchange'!$D$261)*100</f>
        <v>2.0702407067054009</v>
      </c>
      <c r="D80" s="173">
        <f t="shared" si="16"/>
        <v>4.6081105116499677</v>
      </c>
      <c r="E80" s="111">
        <f>('Pivot Table for Data Exchange'!$D$264)*100</f>
        <v>4.6081105116499677</v>
      </c>
      <c r="F80" s="120">
        <f>('Pivot Table for Data Exchange'!$D$267)*100</f>
        <v>0</v>
      </c>
      <c r="G80" s="121">
        <f>('Pivot Table for Data Exchange'!$D$270)*100</f>
        <v>0</v>
      </c>
      <c r="H80" s="111">
        <f>('Pivot Table for Data Exchange'!$D$273)*100</f>
        <v>0</v>
      </c>
      <c r="I80" s="118" t="s">
        <v>700</v>
      </c>
      <c r="J80" s="111">
        <f>('Pivot Table for Data Exchange'!$D$276)*100</f>
        <v>76.27924916430959</v>
      </c>
      <c r="K80" s="111">
        <f>('Pivot Table for Data Exchange'!$D$279)*100</f>
        <v>6.2708922602211361</v>
      </c>
      <c r="L80" s="173">
        <f t="shared" si="17"/>
        <v>17.449858575469275</v>
      </c>
      <c r="M80" s="111">
        <f>('Pivot Table for Data Exchange'!$D$282)*100</f>
        <v>17.449858575469275</v>
      </c>
      <c r="N80" s="111">
        <f>('Pivot Table for Data Exchange'!$D$285)*100</f>
        <v>0</v>
      </c>
      <c r="O80" s="119">
        <f>('Pivot Table for Data Exchange'!$D$288)*100</f>
        <v>0</v>
      </c>
      <c r="P80" s="111">
        <f>('Pivot Table for Data Exchange'!$D$291)*100</f>
        <v>0</v>
      </c>
      <c r="Q80" s="160">
        <f t="shared" si="14"/>
        <v>100</v>
      </c>
      <c r="R80" s="160">
        <f t="shared" si="15"/>
        <v>100</v>
      </c>
      <c r="S80" s="116"/>
      <c r="U80" s="116"/>
      <c r="V80" s="116"/>
      <c r="W80" s="116"/>
      <c r="X80" s="116"/>
      <c r="Y80" s="116"/>
      <c r="Z80" s="116"/>
      <c r="AA80" s="116"/>
      <c r="AB80" s="116"/>
      <c r="AC80" s="116"/>
      <c r="AD80" s="116"/>
      <c r="AE80" s="116"/>
      <c r="AF80" s="116"/>
      <c r="AG80" s="116"/>
      <c r="AH80" s="116"/>
      <c r="AI80" s="116"/>
      <c r="AJ80" s="116"/>
      <c r="AK80" s="116"/>
      <c r="AL80" s="116"/>
      <c r="AM80" s="116"/>
      <c r="AN80" s="116"/>
      <c r="AO80" s="116"/>
    </row>
    <row r="81" spans="1:41" ht="8.25" customHeight="1">
      <c r="A81" s="118"/>
      <c r="B81" s="111"/>
      <c r="C81" s="111"/>
      <c r="D81" s="173"/>
      <c r="E81" s="111"/>
      <c r="F81" s="111"/>
      <c r="G81" s="119"/>
      <c r="H81" s="111"/>
      <c r="I81" s="118"/>
      <c r="J81" s="111"/>
      <c r="K81" s="111"/>
      <c r="L81" s="173"/>
      <c r="M81" s="111"/>
      <c r="N81" s="111"/>
      <c r="O81" s="119"/>
      <c r="P81" s="111"/>
      <c r="Q81" s="160">
        <f t="shared" si="14"/>
        <v>0</v>
      </c>
      <c r="R81" s="160">
        <f t="shared" si="15"/>
        <v>0</v>
      </c>
      <c r="S81" s="116"/>
      <c r="U81" s="116"/>
      <c r="V81" s="116"/>
      <c r="W81" s="116"/>
      <c r="X81" s="116"/>
      <c r="Y81" s="116"/>
      <c r="Z81" s="116"/>
      <c r="AA81" s="116"/>
      <c r="AB81" s="116"/>
      <c r="AC81" s="116"/>
      <c r="AD81" s="116"/>
      <c r="AE81" s="116"/>
      <c r="AF81" s="116"/>
      <c r="AG81" s="116"/>
      <c r="AH81" s="116"/>
      <c r="AI81" s="116"/>
      <c r="AJ81" s="116"/>
      <c r="AK81" s="116"/>
      <c r="AL81" s="116"/>
      <c r="AM81" s="116"/>
      <c r="AN81" s="116"/>
      <c r="AO81" s="116"/>
    </row>
    <row r="82" spans="1:41" ht="15.75" customHeight="1">
      <c r="A82" s="118" t="s">
        <v>661</v>
      </c>
      <c r="B82" s="111">
        <f>('Pivot Table for Data Exchange'!$D$294)*100</f>
        <v>90.711903155685476</v>
      </c>
      <c r="C82" s="111">
        <f>('Pivot Table for Data Exchange'!$D$297)*100</f>
        <v>5.2927066936511507</v>
      </c>
      <c r="D82" s="173">
        <f t="shared" ref="D82:D84" si="18">SUM(E82:G82)</f>
        <v>3.9948279739149992</v>
      </c>
      <c r="E82" s="111">
        <f>('Pivot Table for Data Exchange'!$D$300)*100</f>
        <v>2.1834944906678659</v>
      </c>
      <c r="F82" s="111">
        <f>('Pivot Table for Data Exchange'!$D$303)*100</f>
        <v>1.8113334832471331</v>
      </c>
      <c r="G82" s="119">
        <f>('Pivot Table for Data Exchange'!$D$306)*100</f>
        <v>0</v>
      </c>
      <c r="H82" s="111">
        <f>('Pivot Table for Data Exchange'!$D$309)*100</f>
        <v>5.6217674836968746E-4</v>
      </c>
      <c r="I82" s="118" t="s">
        <v>661</v>
      </c>
      <c r="J82" s="111">
        <f>('Pivot Table for Data Exchange'!$D$312)*100</f>
        <v>83.142495159323985</v>
      </c>
      <c r="K82" s="111">
        <f>('Pivot Table for Data Exchange'!$D$315)*100</f>
        <v>12.460258647479263</v>
      </c>
      <c r="L82" s="173">
        <f t="shared" ref="L82:L84" si="19">SUM(M82:O82)</f>
        <v>4.397246193196759</v>
      </c>
      <c r="M82" s="111">
        <f>('Pivot Table for Data Exchange'!$D$318)*100</f>
        <v>3.3179547247388426</v>
      </c>
      <c r="N82" s="111">
        <f>('Pivot Table for Data Exchange'!$D$321)*100</f>
        <v>1.079291468457916</v>
      </c>
      <c r="O82" s="119">
        <f>('Pivot Table for Data Exchange'!$D$324)*100</f>
        <v>0</v>
      </c>
      <c r="P82" s="114">
        <f>('Pivot Table for Data Exchange'!$D$327)*100</f>
        <v>0</v>
      </c>
      <c r="Q82" s="160">
        <f t="shared" si="14"/>
        <v>100</v>
      </c>
      <c r="R82" s="160">
        <f t="shared" si="15"/>
        <v>100.00000000000001</v>
      </c>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row>
    <row r="83" spans="1:41" ht="15.75" customHeight="1">
      <c r="A83" s="118" t="s">
        <v>662</v>
      </c>
      <c r="B83" s="111">
        <f>('Pivot Table for Data Exchange'!$D$330)*100</f>
        <v>90.621905950486678</v>
      </c>
      <c r="C83" s="111">
        <f>('Pivot Table for Data Exchange'!$D$333)*100</f>
        <v>8.9737427434713884E-2</v>
      </c>
      <c r="D83" s="173">
        <f t="shared" si="18"/>
        <v>9.288356622078604</v>
      </c>
      <c r="E83" s="111">
        <f>('Pivot Table for Data Exchange'!$D$336)*100</f>
        <v>9.2743950983328229</v>
      </c>
      <c r="F83" s="120">
        <f>('Pivot Table for Data Exchange'!$D$339)*100</f>
        <v>1.3961523745780902E-2</v>
      </c>
      <c r="G83" s="119">
        <f>('Pivot Table for Data Exchange'!$D$342)*100</f>
        <v>0</v>
      </c>
      <c r="H83" s="111">
        <f>('Pivot Table for Data Exchange'!$D$345)*100</f>
        <v>0</v>
      </c>
      <c r="I83" s="118" t="s">
        <v>662</v>
      </c>
      <c r="J83" s="111">
        <f>('Pivot Table for Data Exchange'!$D$348)*100</f>
        <v>80.730677178656904</v>
      </c>
      <c r="K83" s="111">
        <f>('Pivot Table for Data Exchange'!$D$351)*100</f>
        <v>4.8275376601436015</v>
      </c>
      <c r="L83" s="173">
        <f t="shared" si="19"/>
        <v>14.441785161199492</v>
      </c>
      <c r="M83" s="111">
        <f>('Pivot Table for Data Exchange'!$D$354)*100</f>
        <v>14.298183865972124</v>
      </c>
      <c r="N83" s="111">
        <f>('Pivot Table for Data Exchange'!$D$357)*100</f>
        <v>0.14360129522736872</v>
      </c>
      <c r="O83" s="121">
        <f>('Pivot Table for Data Exchange'!$D$360)*100</f>
        <v>0</v>
      </c>
      <c r="P83" s="111">
        <f>('Pivot Table for Data Exchange'!$D$363)*100</f>
        <v>0</v>
      </c>
      <c r="Q83" s="160">
        <f t="shared" si="14"/>
        <v>100</v>
      </c>
      <c r="R83" s="160">
        <f t="shared" si="15"/>
        <v>100</v>
      </c>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row>
    <row r="84" spans="1:41" ht="15.75" customHeight="1">
      <c r="A84" s="118" t="s">
        <v>663</v>
      </c>
      <c r="B84" s="111">
        <f>('Pivot Table for Data Exchange'!$D$366)*100</f>
        <v>0</v>
      </c>
      <c r="C84" s="111">
        <f>('Pivot Table for Data Exchange'!$D$369)*100</f>
        <v>0</v>
      </c>
      <c r="D84" s="173">
        <f t="shared" si="18"/>
        <v>0</v>
      </c>
      <c r="E84" s="111">
        <f>('Pivot Table for Data Exchange'!$D$372)*100</f>
        <v>0</v>
      </c>
      <c r="F84" s="111">
        <f>('Pivot Table for Data Exchange'!$D$375)*100</f>
        <v>0</v>
      </c>
      <c r="G84" s="119">
        <f>('Pivot Table for Data Exchange'!$D$378)*100</f>
        <v>0</v>
      </c>
      <c r="H84" s="111">
        <f>('Pivot Table for Data Exchange'!$D$381)*100</f>
        <v>0</v>
      </c>
      <c r="I84" s="118" t="s">
        <v>663</v>
      </c>
      <c r="J84" s="111">
        <f>('Pivot Table for Data Exchange'!$D$384)*100</f>
        <v>0</v>
      </c>
      <c r="K84" s="111">
        <f>('Pivot Table for Data Exchange'!$D$387)*100</f>
        <v>0</v>
      </c>
      <c r="L84" s="173">
        <f t="shared" si="19"/>
        <v>0</v>
      </c>
      <c r="M84" s="111">
        <f>('Pivot Table for Data Exchange'!$D$390)*100</f>
        <v>0</v>
      </c>
      <c r="N84" s="111">
        <f>('Pivot Table for Data Exchange'!$D$393)*100</f>
        <v>0</v>
      </c>
      <c r="O84" s="119">
        <f>('Pivot Table for Data Exchange'!$D$396)*100</f>
        <v>0</v>
      </c>
      <c r="P84" s="111">
        <f>('Pivot Table for Data Exchange'!$D$399)*100</f>
        <v>0</v>
      </c>
      <c r="Q84" s="160">
        <f t="shared" si="14"/>
        <v>0</v>
      </c>
      <c r="R84" s="160">
        <f t="shared" si="15"/>
        <v>0</v>
      </c>
      <c r="S84" s="116"/>
      <c r="T84" s="132"/>
      <c r="U84" s="116"/>
      <c r="V84" s="116"/>
      <c r="W84" s="116"/>
      <c r="X84" s="116"/>
      <c r="Y84" s="116"/>
      <c r="Z84" s="116"/>
      <c r="AA84" s="116"/>
      <c r="AB84" s="116"/>
      <c r="AC84" s="116"/>
      <c r="AD84" s="116"/>
      <c r="AE84" s="116"/>
      <c r="AF84" s="116"/>
      <c r="AG84" s="116"/>
      <c r="AH84" s="116"/>
      <c r="AI84" s="116"/>
      <c r="AJ84" s="116"/>
      <c r="AK84" s="116"/>
      <c r="AL84" s="116"/>
      <c r="AM84" s="116"/>
      <c r="AN84" s="116"/>
      <c r="AO84" s="116"/>
    </row>
    <row r="85" spans="1:41" ht="15.75" customHeight="1">
      <c r="A85" s="118" t="s">
        <v>664</v>
      </c>
      <c r="B85" s="111">
        <f>('Pivot Table for Data Exchange'!$D$402)*100</f>
        <v>0</v>
      </c>
      <c r="C85" s="111">
        <f>('Pivot Table for Data Exchange'!$D$405)*100</f>
        <v>0</v>
      </c>
      <c r="D85" s="173">
        <f>SUM(E85:G85)</f>
        <v>0</v>
      </c>
      <c r="E85" s="111">
        <f>('Pivot Table for Data Exchange'!$D$408)*100</f>
        <v>0</v>
      </c>
      <c r="F85" s="111">
        <f>('Pivot Table for Data Exchange'!$D$411)*100</f>
        <v>0</v>
      </c>
      <c r="G85" s="119">
        <f>('Pivot Table for Data Exchange'!$D$414)*100</f>
        <v>0</v>
      </c>
      <c r="H85" s="111">
        <f>('Pivot Table for Data Exchange'!$D$417)*100</f>
        <v>0</v>
      </c>
      <c r="I85" s="118" t="s">
        <v>664</v>
      </c>
      <c r="J85" s="111">
        <f>('Pivot Table for Data Exchange'!$D$420)*100</f>
        <v>0</v>
      </c>
      <c r="K85" s="111">
        <f>('Pivot Table for Data Exchange'!$D$423)*100</f>
        <v>0</v>
      </c>
      <c r="L85" s="173">
        <f>SUM(M85:O85)</f>
        <v>0</v>
      </c>
      <c r="M85" s="111">
        <f>('Pivot Table for Data Exchange'!$D$426)*100</f>
        <v>0</v>
      </c>
      <c r="N85" s="120">
        <f>('Pivot Table for Data Exchange'!$D$429)*100</f>
        <v>0</v>
      </c>
      <c r="O85" s="119">
        <f>('Pivot Table for Data Exchange'!$D$432)*100</f>
        <v>0</v>
      </c>
      <c r="P85" s="111">
        <f>('Pivot Table for Data Exchange'!$D$435)*100</f>
        <v>0</v>
      </c>
      <c r="Q85" s="160">
        <f t="shared" si="14"/>
        <v>0</v>
      </c>
      <c r="R85" s="160">
        <f t="shared" si="15"/>
        <v>0</v>
      </c>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row>
    <row r="86" spans="1:41" ht="8.25" customHeight="1">
      <c r="A86" s="118"/>
      <c r="B86" s="111"/>
      <c r="C86" s="111"/>
      <c r="D86" s="173"/>
      <c r="E86" s="111"/>
      <c r="F86" s="111"/>
      <c r="G86" s="119"/>
      <c r="H86" s="111"/>
      <c r="I86" s="118"/>
      <c r="J86" s="111"/>
      <c r="K86" s="111"/>
      <c r="L86" s="173"/>
      <c r="M86" s="111"/>
      <c r="N86" s="111"/>
      <c r="O86" s="119"/>
      <c r="P86" s="111"/>
      <c r="Q86" s="160">
        <f t="shared" si="14"/>
        <v>0</v>
      </c>
      <c r="R86" s="160">
        <f t="shared" si="15"/>
        <v>0</v>
      </c>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row>
    <row r="87" spans="1:41" ht="15.75" customHeight="1">
      <c r="A87" s="118" t="s">
        <v>665</v>
      </c>
      <c r="B87" s="111">
        <f>('Pivot Table for Data Exchange'!$D$438)*100</f>
        <v>0</v>
      </c>
      <c r="C87" s="111">
        <f>('Pivot Table for Data Exchange'!$D$441)*100</f>
        <v>0</v>
      </c>
      <c r="D87" s="173">
        <f>SUM(E87:G87)</f>
        <v>0</v>
      </c>
      <c r="E87" s="111">
        <f>('Pivot Table for Data Exchange'!$D$444)*100</f>
        <v>0</v>
      </c>
      <c r="F87" s="111">
        <f>('Pivot Table for Data Exchange'!$D$447)*100</f>
        <v>0</v>
      </c>
      <c r="G87" s="119">
        <f>('Pivot Table for Data Exchange'!$D$450)*100</f>
        <v>0</v>
      </c>
      <c r="H87" s="111">
        <f>('Pivot Table for Data Exchange'!$D$453)*100</f>
        <v>0</v>
      </c>
      <c r="I87" s="118" t="s">
        <v>665</v>
      </c>
      <c r="J87" s="111">
        <f>('Pivot Table for Data Exchange'!$D$456)*100</f>
        <v>0</v>
      </c>
      <c r="K87" s="111">
        <f>('Pivot Table for Data Exchange'!$D$459)*100</f>
        <v>0</v>
      </c>
      <c r="L87" s="173">
        <f>SUM(M87:O87)</f>
        <v>0</v>
      </c>
      <c r="M87" s="111">
        <f>('Pivot Table for Data Exchange'!$D$462)*100</f>
        <v>0</v>
      </c>
      <c r="N87" s="111">
        <f>('Pivot Table for Data Exchange'!$D$465)*100</f>
        <v>0</v>
      </c>
      <c r="O87" s="119">
        <f>('Pivot Table for Data Exchange'!$D$468)*100</f>
        <v>0</v>
      </c>
      <c r="P87" s="111">
        <f>('Pivot Table for Data Exchange'!$D$471)*100</f>
        <v>0</v>
      </c>
      <c r="Q87" s="160">
        <f t="shared" si="14"/>
        <v>0</v>
      </c>
      <c r="R87" s="160">
        <f t="shared" si="15"/>
        <v>0</v>
      </c>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row>
    <row r="88" spans="1:41" ht="15.75" customHeight="1">
      <c r="A88" s="118" t="s">
        <v>666</v>
      </c>
      <c r="B88" s="111">
        <f>('Pivot Table for Data Exchange'!$D$474)*100</f>
        <v>93.7757447933419</v>
      </c>
      <c r="C88" s="111">
        <f>('Pivot Table for Data Exchange'!$D$477)*100</f>
        <v>0.74780107852934363</v>
      </c>
      <c r="D88" s="173">
        <f>SUM(E88:G88)</f>
        <v>5.4764541281287622</v>
      </c>
      <c r="E88" s="111">
        <f>('Pivot Table for Data Exchange'!$D$480)*100</f>
        <v>5.1386055068997889</v>
      </c>
      <c r="F88" s="111">
        <f>('Pivot Table for Data Exchange'!$D$483)*100</f>
        <v>0.33784862122897347</v>
      </c>
      <c r="G88" s="119">
        <f>('Pivot Table for Data Exchange'!$D$486)*100</f>
        <v>0</v>
      </c>
      <c r="H88" s="111">
        <f>('Pivot Table for Data Exchange'!$D$489)*100</f>
        <v>0</v>
      </c>
      <c r="I88" s="118" t="s">
        <v>666</v>
      </c>
      <c r="J88" s="111">
        <f>('Pivot Table for Data Exchange'!$D$492)*100</f>
        <v>71.230046207484918</v>
      </c>
      <c r="K88" s="111">
        <f>('Pivot Table for Data Exchange'!$D$495)*100</f>
        <v>3.2000039451427895</v>
      </c>
      <c r="L88" s="173">
        <f>SUM(M88:O88)</f>
        <v>25.569949847372289</v>
      </c>
      <c r="M88" s="111">
        <f>('Pivot Table for Data Exchange'!$D$498)*100</f>
        <v>25.099491569723003</v>
      </c>
      <c r="N88" s="111">
        <f>('Pivot Table for Data Exchange'!$D$501)*100</f>
        <v>0.47045827764928672</v>
      </c>
      <c r="O88" s="119">
        <f>('Pivot Table for Data Exchange'!$D$504)*100</f>
        <v>0</v>
      </c>
      <c r="P88" s="111">
        <f>('Pivot Table for Data Exchange'!$D$507)*100</f>
        <v>0</v>
      </c>
      <c r="Q88" s="160">
        <f t="shared" si="14"/>
        <v>100.00000000000001</v>
      </c>
      <c r="R88" s="160">
        <f t="shared" si="15"/>
        <v>99.999999999999986</v>
      </c>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row>
    <row r="89" spans="1:41" ht="15.75" customHeight="1">
      <c r="A89" s="118" t="s">
        <v>667</v>
      </c>
      <c r="B89" s="111">
        <f>('Pivot Table for Data Exchange'!$D$510)*100</f>
        <v>0</v>
      </c>
      <c r="C89" s="111">
        <f>('Pivot Table for Data Exchange'!$D$513)*100</f>
        <v>0</v>
      </c>
      <c r="D89" s="173">
        <f t="shared" ref="D89" si="20">SUM(E89:G89)</f>
        <v>0</v>
      </c>
      <c r="E89" s="111">
        <f>('Pivot Table for Data Exchange'!$D$516)*100</f>
        <v>0</v>
      </c>
      <c r="F89" s="111">
        <f>('Pivot Table for Data Exchange'!$D$519)*100</f>
        <v>0</v>
      </c>
      <c r="G89" s="119">
        <f>('Pivot Table for Data Exchange'!$D$522)*100</f>
        <v>0</v>
      </c>
      <c r="H89" s="111">
        <f>('Pivot Table for Data Exchange'!$D$525)*100</f>
        <v>0</v>
      </c>
      <c r="I89" s="118" t="s">
        <v>667</v>
      </c>
      <c r="J89" s="111">
        <f>('Pivot Table for Data Exchange'!$D$528)*100</f>
        <v>0</v>
      </c>
      <c r="K89" s="111">
        <f>('Pivot Table for Data Exchange'!$D$531)*100</f>
        <v>0</v>
      </c>
      <c r="L89" s="173">
        <f t="shared" ref="L89" si="21">SUM(M89:O89)</f>
        <v>0</v>
      </c>
      <c r="M89" s="111">
        <f>('Pivot Table for Data Exchange'!$D$534)*100</f>
        <v>0</v>
      </c>
      <c r="N89" s="111">
        <f>('Pivot Table for Data Exchange'!$D$537)*100</f>
        <v>0</v>
      </c>
      <c r="O89" s="119">
        <f>('Pivot Table for Data Exchange'!$D$540)*100</f>
        <v>0</v>
      </c>
      <c r="P89" s="111">
        <f>('Pivot Table for Data Exchange'!$D$543)*100</f>
        <v>0</v>
      </c>
      <c r="Q89" s="160">
        <f t="shared" si="14"/>
        <v>0</v>
      </c>
      <c r="R89" s="160">
        <f t="shared" si="15"/>
        <v>0</v>
      </c>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row>
    <row r="90" spans="1:41" ht="15.75" customHeight="1">
      <c r="A90" s="91" t="s">
        <v>668</v>
      </c>
      <c r="B90" s="122">
        <f>('Pivot Table for Data Exchange'!$D$546)*100</f>
        <v>0</v>
      </c>
      <c r="C90" s="122">
        <f>('Pivot Table for Data Exchange'!$D$549)*100</f>
        <v>0</v>
      </c>
      <c r="D90" s="174">
        <f>SUM(E90:G90)</f>
        <v>0</v>
      </c>
      <c r="E90" s="122">
        <f>('Pivot Table for Data Exchange'!$D$552)*100</f>
        <v>0</v>
      </c>
      <c r="F90" s="122">
        <f>('Pivot Table for Data Exchange'!$D$555)*100</f>
        <v>0</v>
      </c>
      <c r="G90" s="124">
        <f>('Pivot Table for Data Exchange'!$D$558)*100</f>
        <v>0</v>
      </c>
      <c r="H90" s="125">
        <f>('Pivot Table for Data Exchange'!$D$561)*100</f>
        <v>0</v>
      </c>
      <c r="I90" s="91" t="s">
        <v>668</v>
      </c>
      <c r="J90" s="122">
        <f>('Pivot Table for Data Exchange'!$D$564)*100</f>
        <v>0</v>
      </c>
      <c r="K90" s="122">
        <f>('Pivot Table for Data Exchange'!$D$567)*100</f>
        <v>0</v>
      </c>
      <c r="L90" s="174">
        <f>SUM(M90:O90)</f>
        <v>0</v>
      </c>
      <c r="M90" s="122">
        <f>('Pivot Table for Data Exchange'!$D$570)*100</f>
        <v>0</v>
      </c>
      <c r="N90" s="122">
        <f>('Pivot Table for Data Exchange'!$D$573)*100</f>
        <v>0</v>
      </c>
      <c r="O90" s="124">
        <f>('Pivot Table for Data Exchange'!$D$576)*100</f>
        <v>0</v>
      </c>
      <c r="P90" s="122">
        <f>('Pivot Table for Data Exchange'!$D$579)*100</f>
        <v>0</v>
      </c>
      <c r="Q90" s="160">
        <f t="shared" si="14"/>
        <v>0</v>
      </c>
      <c r="R90" s="160">
        <f t="shared" si="15"/>
        <v>0</v>
      </c>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row>
    <row r="91" spans="1:41" s="60" customFormat="1" ht="18" customHeight="1">
      <c r="A91" s="58" t="s">
        <v>697</v>
      </c>
      <c r="B91" s="126"/>
      <c r="C91" s="126"/>
      <c r="D91" s="127"/>
      <c r="E91" s="126"/>
      <c r="F91" s="127"/>
      <c r="G91" s="127"/>
      <c r="H91" s="126"/>
      <c r="I91" s="58" t="s">
        <v>697</v>
      </c>
      <c r="J91" s="126"/>
      <c r="K91" s="126"/>
      <c r="L91" s="127"/>
      <c r="M91" s="126"/>
      <c r="N91" s="127"/>
      <c r="O91" s="127"/>
      <c r="P91" s="126"/>
      <c r="Q91" s="160"/>
      <c r="R91" s="160"/>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row>
    <row r="92" spans="1:41" s="60" customFormat="1" ht="24.75" customHeight="1">
      <c r="A92" s="649" t="s">
        <v>698</v>
      </c>
      <c r="B92" s="654"/>
      <c r="C92" s="654"/>
      <c r="D92" s="654"/>
      <c r="E92" s="654"/>
      <c r="F92" s="654"/>
      <c r="G92" s="654"/>
      <c r="H92" s="654"/>
      <c r="I92" s="649" t="s">
        <v>698</v>
      </c>
      <c r="J92" s="654"/>
      <c r="K92" s="654"/>
      <c r="L92" s="654"/>
      <c r="M92" s="654"/>
      <c r="N92" s="654"/>
      <c r="O92" s="654"/>
      <c r="P92" s="654"/>
      <c r="Q92" s="160"/>
      <c r="R92" s="160"/>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row>
    <row r="93" spans="1:41" s="60" customFormat="1" ht="18" customHeight="1">
      <c r="A93" s="137"/>
      <c r="B93" s="176"/>
      <c r="C93" s="176"/>
      <c r="D93" s="138"/>
      <c r="E93" s="176"/>
      <c r="F93" s="176"/>
      <c r="G93" s="177"/>
      <c r="H93" s="177"/>
      <c r="I93" s="137"/>
      <c r="J93" s="176"/>
      <c r="K93" s="176"/>
      <c r="L93" s="138"/>
      <c r="M93" s="176"/>
      <c r="N93" s="176"/>
      <c r="O93" s="176"/>
      <c r="P93" s="177"/>
      <c r="Q93" s="160"/>
      <c r="R93" s="160"/>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row>
    <row r="94" spans="1:41" s="60" customFormat="1" ht="13.5" customHeight="1">
      <c r="A94" s="58"/>
      <c r="B94" s="135"/>
      <c r="H94" s="64" t="s">
        <v>1034</v>
      </c>
      <c r="I94" s="58"/>
      <c r="P94" s="64" t="s">
        <v>1034</v>
      </c>
      <c r="Q94" s="160"/>
      <c r="R94" s="160"/>
    </row>
    <row r="95" spans="1:41" ht="18">
      <c r="A95" s="31" t="s">
        <v>1014</v>
      </c>
      <c r="B95" s="86"/>
      <c r="C95" s="86"/>
      <c r="D95" s="86"/>
      <c r="E95" s="86"/>
      <c r="F95" s="86"/>
      <c r="G95" s="86"/>
      <c r="H95" s="87"/>
      <c r="I95" s="31" t="s">
        <v>1029</v>
      </c>
      <c r="J95" s="38"/>
      <c r="K95" s="38"/>
      <c r="L95" s="86"/>
      <c r="M95" s="38"/>
      <c r="N95" s="38"/>
      <c r="O95" s="38"/>
      <c r="P95" s="38"/>
      <c r="Q95" s="160"/>
      <c r="R95" s="160"/>
    </row>
    <row r="96" spans="1:41">
      <c r="A96" s="37"/>
      <c r="B96" s="38"/>
      <c r="C96" s="38"/>
      <c r="D96" s="38"/>
      <c r="E96" s="38"/>
      <c r="F96" s="38"/>
      <c r="G96" s="38"/>
      <c r="H96" s="88"/>
      <c r="I96" s="37"/>
      <c r="J96" s="38"/>
      <c r="K96" s="38"/>
      <c r="L96" s="38"/>
      <c r="M96" s="38"/>
      <c r="N96" s="38"/>
      <c r="O96" s="38"/>
      <c r="P96" s="38"/>
      <c r="Q96" s="160"/>
      <c r="R96" s="160"/>
    </row>
    <row r="97" spans="1:41" ht="15.75">
      <c r="A97" s="89" t="s">
        <v>683</v>
      </c>
      <c r="B97" s="38"/>
      <c r="C97" s="38"/>
      <c r="D97" s="38"/>
      <c r="E97" s="38"/>
      <c r="F97" s="38"/>
      <c r="G97" s="38"/>
      <c r="H97" s="88"/>
      <c r="I97" s="89" t="s">
        <v>684</v>
      </c>
      <c r="J97" s="38"/>
      <c r="K97" s="38"/>
      <c r="L97" s="38"/>
      <c r="M97" s="38"/>
      <c r="N97" s="38"/>
      <c r="O97" s="38"/>
      <c r="P97" s="38"/>
      <c r="Q97" s="160"/>
      <c r="R97" s="160"/>
    </row>
    <row r="98" spans="1:41" ht="15.75">
      <c r="A98" s="89" t="s">
        <v>992</v>
      </c>
      <c r="B98" s="38"/>
      <c r="C98" s="38"/>
      <c r="D98" s="38"/>
      <c r="E98" s="38"/>
      <c r="F98" s="38"/>
      <c r="G98" s="38"/>
      <c r="H98" s="88"/>
      <c r="I98" s="89" t="s">
        <v>992</v>
      </c>
      <c r="J98" s="38"/>
      <c r="K98" s="38"/>
      <c r="L98" s="38"/>
      <c r="M98" s="38"/>
      <c r="N98" s="38"/>
      <c r="O98" s="38"/>
      <c r="P98" s="38"/>
      <c r="Q98" s="160"/>
      <c r="R98" s="160"/>
    </row>
    <row r="99" spans="1:41">
      <c r="A99" s="91"/>
      <c r="B99" s="92"/>
      <c r="C99" s="92"/>
      <c r="D99" s="92"/>
      <c r="E99" s="92"/>
      <c r="F99" s="92"/>
      <c r="G99" s="92"/>
      <c r="H99" s="92"/>
      <c r="I99" s="93"/>
      <c r="L99" s="94"/>
      <c r="P99" s="91"/>
      <c r="Q99" s="160"/>
      <c r="R99" s="160"/>
    </row>
    <row r="100" spans="1:41" s="100" customFormat="1">
      <c r="A100" s="95"/>
      <c r="B100" s="648" t="s">
        <v>685</v>
      </c>
      <c r="C100" s="648"/>
      <c r="D100" s="648"/>
      <c r="E100" s="648"/>
      <c r="F100" s="648"/>
      <c r="G100" s="648"/>
      <c r="H100" s="648"/>
      <c r="I100" s="95"/>
      <c r="J100" s="96" t="s">
        <v>685</v>
      </c>
      <c r="K100" s="96"/>
      <c r="L100" s="96"/>
      <c r="M100" s="96"/>
      <c r="N100" s="96"/>
      <c r="O100" s="96"/>
      <c r="P100" s="97"/>
      <c r="Q100" s="160"/>
      <c r="R100" s="160"/>
    </row>
    <row r="101" spans="1:41" s="100" customFormat="1">
      <c r="A101" s="95"/>
      <c r="B101" s="96" t="s">
        <v>686</v>
      </c>
      <c r="C101" s="96"/>
      <c r="D101" s="647" t="s">
        <v>687</v>
      </c>
      <c r="E101" s="648"/>
      <c r="F101" s="648"/>
      <c r="G101" s="648"/>
      <c r="H101" s="101" t="s">
        <v>59</v>
      </c>
      <c r="I101" s="95"/>
      <c r="J101" s="96" t="s">
        <v>686</v>
      </c>
      <c r="K101" s="96"/>
      <c r="L101" s="647" t="s">
        <v>687</v>
      </c>
      <c r="M101" s="648"/>
      <c r="N101" s="648"/>
      <c r="O101" s="648"/>
      <c r="P101" s="101" t="s">
        <v>59</v>
      </c>
      <c r="Q101" s="160"/>
      <c r="R101" s="160"/>
    </row>
    <row r="102" spans="1:41" s="100" customFormat="1" ht="40.5" customHeight="1">
      <c r="A102" s="95"/>
      <c r="B102" s="102" t="s">
        <v>688</v>
      </c>
      <c r="C102" s="103" t="s">
        <v>689</v>
      </c>
      <c r="D102" s="104" t="s">
        <v>690</v>
      </c>
      <c r="E102" s="105" t="s">
        <v>9</v>
      </c>
      <c r="F102" s="102" t="s">
        <v>691</v>
      </c>
      <c r="G102" s="106" t="s">
        <v>692</v>
      </c>
      <c r="H102" s="107" t="s">
        <v>693</v>
      </c>
      <c r="I102" s="95"/>
      <c r="J102" s="102" t="s">
        <v>688</v>
      </c>
      <c r="K102" s="103" t="s">
        <v>689</v>
      </c>
      <c r="L102" s="104" t="s">
        <v>690</v>
      </c>
      <c r="M102" s="105" t="s">
        <v>9</v>
      </c>
      <c r="N102" s="102" t="s">
        <v>691</v>
      </c>
      <c r="O102" s="106" t="s">
        <v>692</v>
      </c>
      <c r="P102" s="107" t="s">
        <v>693</v>
      </c>
      <c r="Q102" s="160"/>
      <c r="R102" s="160"/>
      <c r="T102" s="131"/>
    </row>
    <row r="103" spans="1:41" ht="15.75" customHeight="1">
      <c r="A103" s="115" t="s">
        <v>653</v>
      </c>
      <c r="B103" s="111">
        <f>('Pivot Table for Data Exchange'!$E$6)*100</f>
        <v>84.738919589489115</v>
      </c>
      <c r="C103" s="111">
        <f>('Pivot Table for Data Exchange'!$E$9)*100</f>
        <v>0.98116612157437699</v>
      </c>
      <c r="D103" s="173">
        <f>SUM(E103:G103)</f>
        <v>14.275403180331567</v>
      </c>
      <c r="E103" s="111">
        <f>('Pivot Table for Data Exchange'!$E$12)*100</f>
        <v>13.718496082316992</v>
      </c>
      <c r="F103" s="111">
        <f>('Pivot Table for Data Exchange'!$E$15)*100</f>
        <v>0.16862953594655411</v>
      </c>
      <c r="G103" s="113">
        <f>('Pivot Table for Data Exchange'!$E$18)*100</f>
        <v>0.38827756206802105</v>
      </c>
      <c r="H103" s="120">
        <f>('Pivot Table for Data Exchange'!$E$21)*100</f>
        <v>4.5111086049396641E-3</v>
      </c>
      <c r="I103" s="115" t="s">
        <v>653</v>
      </c>
      <c r="J103" s="111">
        <f>('Pivot Table for Data Exchange'!$E$24)*100</f>
        <v>71.656645045215654</v>
      </c>
      <c r="K103" s="111">
        <f>('Pivot Table for Data Exchange'!$E$27)*100</f>
        <v>1.7025709009990058</v>
      </c>
      <c r="L103" s="173">
        <f>SUM(M103:O103)</f>
        <v>26.640784053785332</v>
      </c>
      <c r="M103" s="111">
        <f>('Pivot Table for Data Exchange'!$E$30)*100</f>
        <v>23.248899199848491</v>
      </c>
      <c r="N103" s="111">
        <f>('Pivot Table for Data Exchange'!$E$33)*100</f>
        <v>0.2263150419014251</v>
      </c>
      <c r="O103" s="113">
        <f>('Pivot Table for Data Exchange'!$E$36)*100</f>
        <v>3.1655698120354154</v>
      </c>
      <c r="P103" s="111">
        <f>('Pivot Table for Data Exchange'!$E$39)*100</f>
        <v>0</v>
      </c>
      <c r="Q103" s="160">
        <f>SUM(B103,C103,D103,H103)</f>
        <v>100</v>
      </c>
      <c r="R103" s="160">
        <f t="shared" si="15"/>
        <v>100</v>
      </c>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row>
    <row r="104" spans="1:41" ht="15.75" customHeight="1">
      <c r="A104" s="118" t="s">
        <v>654</v>
      </c>
      <c r="B104" s="111">
        <f>('Pivot Table for Data Exchange'!$E$42)*100</f>
        <v>79.575316601189698</v>
      </c>
      <c r="C104" s="111">
        <f>('Pivot Table for Data Exchange'!$E$45)*100</f>
        <v>6.7301806234647783</v>
      </c>
      <c r="D104" s="173">
        <f t="shared" ref="D104:D106" si="22">SUM(E104:G104)</f>
        <v>13.616756939655284</v>
      </c>
      <c r="E104" s="111">
        <f>('Pivot Table for Data Exchange'!$E$48)*100</f>
        <v>11.703847773137136</v>
      </c>
      <c r="F104" s="111">
        <f>('Pivot Table for Data Exchange'!$E$51)*100</f>
        <v>0.60621088493358022</v>
      </c>
      <c r="G104" s="119">
        <f>('Pivot Table for Data Exchange'!$E$54)*100</f>
        <v>1.3066982815845685</v>
      </c>
      <c r="H104" s="111">
        <f>('Pivot Table for Data Exchange'!$E$57)*100</f>
        <v>7.7745835690246123E-2</v>
      </c>
      <c r="I104" s="118" t="s">
        <v>654</v>
      </c>
      <c r="J104" s="111">
        <f>('Pivot Table for Data Exchange'!$E$60)*100</f>
        <v>57.050364239973575</v>
      </c>
      <c r="K104" s="111">
        <f>('Pivot Table for Data Exchange'!$E$63)*100</f>
        <v>11.582516481268783</v>
      </c>
      <c r="L104" s="173">
        <f t="shared" ref="L104:L106" si="23">SUM(M104:O104)</f>
        <v>31.326997812986768</v>
      </c>
      <c r="M104" s="111">
        <f>('Pivot Table for Data Exchange'!$E$66)*100</f>
        <v>24.478814292682159</v>
      </c>
      <c r="N104" s="111">
        <f>('Pivot Table for Data Exchange'!$E$69)*100</f>
        <v>0.3516528470506789</v>
      </c>
      <c r="O104" s="119">
        <f>('Pivot Table for Data Exchange'!$E$72)*100</f>
        <v>6.496530673253929</v>
      </c>
      <c r="P104" s="120">
        <f>('Pivot Table for Data Exchange'!$E$75)*100</f>
        <v>4.0121465770882832E-2</v>
      </c>
      <c r="Q104" s="160">
        <f t="shared" si="14"/>
        <v>100.00000000000001</v>
      </c>
      <c r="R104" s="160">
        <f t="shared" si="15"/>
        <v>100</v>
      </c>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row>
    <row r="105" spans="1:41" ht="15.75" customHeight="1">
      <c r="A105" s="118" t="s">
        <v>655</v>
      </c>
      <c r="B105" s="111">
        <f>('Pivot Table for Data Exchange'!$E$78)*100</f>
        <v>0</v>
      </c>
      <c r="C105" s="111">
        <f>('Pivot Table for Data Exchange'!$E$81)*100</f>
        <v>0</v>
      </c>
      <c r="D105" s="173">
        <f t="shared" si="22"/>
        <v>0</v>
      </c>
      <c r="E105" s="111">
        <f>('Pivot Table for Data Exchange'!$E$84)*100</f>
        <v>0</v>
      </c>
      <c r="F105" s="111">
        <f>('Pivot Table for Data Exchange'!$E$87)*100</f>
        <v>0</v>
      </c>
      <c r="G105" s="119">
        <f>('Pivot Table for Data Exchange'!$E$90)*100</f>
        <v>0</v>
      </c>
      <c r="H105" s="111">
        <f>('Pivot Table for Data Exchange'!$E$93)*100</f>
        <v>0</v>
      </c>
      <c r="I105" s="118" t="s">
        <v>655</v>
      </c>
      <c r="J105" s="111">
        <f>('Pivot Table for Data Exchange'!$E$96)*100</f>
        <v>0</v>
      </c>
      <c r="K105" s="111">
        <f>('Pivot Table for Data Exchange'!$E$99)*100</f>
        <v>0</v>
      </c>
      <c r="L105" s="173">
        <f t="shared" si="23"/>
        <v>0</v>
      </c>
      <c r="M105" s="111">
        <f>('Pivot Table for Data Exchange'!$E$102)*100</f>
        <v>0</v>
      </c>
      <c r="N105" s="111">
        <f>('Pivot Table for Data Exchange'!$E$105)*100</f>
        <v>0</v>
      </c>
      <c r="O105" s="119">
        <f>('Pivot Table for Data Exchange'!$E$108)*100</f>
        <v>0</v>
      </c>
      <c r="P105" s="111">
        <f>('Pivot Table for Data Exchange'!$E$111)*100</f>
        <v>0</v>
      </c>
      <c r="Q105" s="160">
        <f t="shared" si="14"/>
        <v>0</v>
      </c>
      <c r="R105" s="160">
        <f t="shared" si="15"/>
        <v>0</v>
      </c>
      <c r="S105" s="116"/>
      <c r="T105" s="132"/>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row>
    <row r="106" spans="1:41" ht="15.75" customHeight="1">
      <c r="A106" s="118" t="s">
        <v>695</v>
      </c>
      <c r="B106" s="111">
        <f>('Pivot Table for Data Exchange'!$E$114)*100</f>
        <v>88.094162254007841</v>
      </c>
      <c r="C106" s="111">
        <f>('Pivot Table for Data Exchange'!$E$117)*100</f>
        <v>1.438639092934848</v>
      </c>
      <c r="D106" s="173">
        <f t="shared" si="22"/>
        <v>10.467198653057302</v>
      </c>
      <c r="E106" s="111">
        <f>('Pivot Table for Data Exchange'!$E$120)*100</f>
        <v>10.133445873165105</v>
      </c>
      <c r="F106" s="111">
        <f>('Pivot Table for Data Exchange'!$E$123)*100</f>
        <v>0.3323165713060991</v>
      </c>
      <c r="G106" s="119">
        <f>('Pivot Table for Data Exchange'!$E$126)*100</f>
        <v>1.436208586096838E-3</v>
      </c>
      <c r="H106" s="111">
        <f>('Pivot Table for Data Exchange'!$E$129)*100</f>
        <v>0</v>
      </c>
      <c r="I106" s="118" t="s">
        <v>695</v>
      </c>
      <c r="J106" s="111">
        <f>('Pivot Table for Data Exchange'!$E$132)*100</f>
        <v>62.231798026033466</v>
      </c>
      <c r="K106" s="111">
        <f>('Pivot Table for Data Exchange'!$E$135)*100</f>
        <v>18.161743670433413</v>
      </c>
      <c r="L106" s="173">
        <f t="shared" si="23"/>
        <v>19.606458303533113</v>
      </c>
      <c r="M106" s="111">
        <f>('Pivot Table for Data Exchange'!$E$138)*100</f>
        <v>19.525997711343155</v>
      </c>
      <c r="N106" s="111">
        <f>('Pivot Table for Data Exchange'!$E$141)*100</f>
        <v>8.0460592189958519E-2</v>
      </c>
      <c r="O106" s="119">
        <f>('Pivot Table for Data Exchange'!$E$144)*100</f>
        <v>0</v>
      </c>
      <c r="P106" s="111">
        <f>('Pivot Table for Data Exchange'!$E$147)*100</f>
        <v>0</v>
      </c>
      <c r="Q106" s="160">
        <f t="shared" si="14"/>
        <v>100</v>
      </c>
      <c r="R106" s="160">
        <f t="shared" si="15"/>
        <v>100</v>
      </c>
      <c r="S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row>
    <row r="107" spans="1:41" ht="11.25" customHeight="1">
      <c r="A107" s="118"/>
      <c r="B107" s="111"/>
      <c r="C107" s="111"/>
      <c r="D107" s="173"/>
      <c r="E107" s="111"/>
      <c r="F107" s="111"/>
      <c r="G107" s="119"/>
      <c r="H107" s="111"/>
      <c r="I107" s="118"/>
      <c r="J107" s="111"/>
      <c r="K107" s="111"/>
      <c r="L107" s="173"/>
      <c r="M107" s="111"/>
      <c r="N107" s="111"/>
      <c r="O107" s="119"/>
      <c r="P107" s="111"/>
      <c r="Q107" s="160">
        <f t="shared" si="14"/>
        <v>0</v>
      </c>
      <c r="R107" s="160">
        <f t="shared" si="15"/>
        <v>0</v>
      </c>
      <c r="S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row>
    <row r="108" spans="1:41" ht="15.75" customHeight="1">
      <c r="A108" s="118" t="s">
        <v>657</v>
      </c>
      <c r="B108" s="111">
        <f>('Pivot Table for Data Exchange'!$E$150)*100</f>
        <v>0</v>
      </c>
      <c r="C108" s="111">
        <f>('Pivot Table for Data Exchange'!$E$153)*100</f>
        <v>0</v>
      </c>
      <c r="D108" s="173">
        <f t="shared" ref="D108:D111" si="24">SUM(E108:G108)</f>
        <v>0</v>
      </c>
      <c r="E108" s="111">
        <f>('Pivot Table for Data Exchange'!$E$156)*100</f>
        <v>0</v>
      </c>
      <c r="F108" s="111">
        <f>('Pivot Table for Data Exchange'!$E$159)*100</f>
        <v>0</v>
      </c>
      <c r="G108" s="119">
        <f>('Pivot Table for Data Exchange'!$E$162)*100</f>
        <v>0</v>
      </c>
      <c r="H108" s="120">
        <f>('Pivot Table for Data Exchange'!$E$165)*100</f>
        <v>0</v>
      </c>
      <c r="I108" s="118" t="s">
        <v>657</v>
      </c>
      <c r="J108" s="111">
        <f>('Pivot Table for Data Exchange'!$E$168)*100</f>
        <v>0</v>
      </c>
      <c r="K108" s="111">
        <f>('Pivot Table for Data Exchange'!$E$171)*100</f>
        <v>0</v>
      </c>
      <c r="L108" s="173">
        <f t="shared" ref="L108:L111" si="25">SUM(M108:O108)</f>
        <v>0</v>
      </c>
      <c r="M108" s="111">
        <f>('Pivot Table for Data Exchange'!$E$174)*100</f>
        <v>0</v>
      </c>
      <c r="N108" s="111">
        <f>('Pivot Table for Data Exchange'!$E$177)*100</f>
        <v>0</v>
      </c>
      <c r="O108" s="121">
        <f>('Pivot Table for Data Exchange'!$E$180)*100</f>
        <v>0</v>
      </c>
      <c r="P108" s="114">
        <f>('Pivot Table for Data Exchange'!$E$183)*100</f>
        <v>0</v>
      </c>
      <c r="Q108" s="160">
        <f t="shared" si="14"/>
        <v>0</v>
      </c>
      <c r="R108" s="160">
        <f t="shared" si="15"/>
        <v>0</v>
      </c>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row>
    <row r="109" spans="1:41" ht="15.75" customHeight="1">
      <c r="A109" s="118" t="s">
        <v>658</v>
      </c>
      <c r="B109" s="111">
        <f>('Pivot Table for Data Exchange'!$E$186)*100</f>
        <v>79.898053813578557</v>
      </c>
      <c r="C109" s="111">
        <f>('Pivot Table for Data Exchange'!$E$189)*100</f>
        <v>7.330705776302052</v>
      </c>
      <c r="D109" s="173">
        <f t="shared" si="24"/>
        <v>12.771240410119391</v>
      </c>
      <c r="E109" s="111">
        <f>('Pivot Table for Data Exchange'!$E$192)*100</f>
        <v>10.230448965298089</v>
      </c>
      <c r="F109" s="111">
        <f>('Pivot Table for Data Exchange'!$E$195)*100</f>
        <v>2.3971458958877814</v>
      </c>
      <c r="G109" s="119">
        <f>('Pivot Table for Data Exchange'!$E$198)*100</f>
        <v>0.14364554893352097</v>
      </c>
      <c r="H109" s="111">
        <f>('Pivot Table for Data Exchange'!$E$201)*100</f>
        <v>0</v>
      </c>
      <c r="I109" s="118" t="s">
        <v>658</v>
      </c>
      <c r="J109" s="111">
        <f>('Pivot Table for Data Exchange'!$E$204)*100</f>
        <v>50.246908439855098</v>
      </c>
      <c r="K109" s="111">
        <f>('Pivot Table for Data Exchange'!$E$207)*100</f>
        <v>7.5280009992921686</v>
      </c>
      <c r="L109" s="173">
        <f t="shared" si="25"/>
        <v>42.225090560852728</v>
      </c>
      <c r="M109" s="111">
        <f>('Pivot Table for Data Exchange'!$E$210)*100</f>
        <v>39.322979556147729</v>
      </c>
      <c r="N109" s="111">
        <f>('Pivot Table for Data Exchange'!$E$213)*100</f>
        <v>2.9021110047050005</v>
      </c>
      <c r="O109" s="119">
        <f>('Pivot Table for Data Exchange'!$E$216)*100</f>
        <v>0</v>
      </c>
      <c r="P109" s="111">
        <f>('Pivot Table for Data Exchange'!$E$219)*100</f>
        <v>0</v>
      </c>
      <c r="Q109" s="160">
        <f t="shared" si="14"/>
        <v>100</v>
      </c>
      <c r="R109" s="160">
        <f t="shared" si="15"/>
        <v>100</v>
      </c>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row>
    <row r="110" spans="1:41" ht="15.75" customHeight="1">
      <c r="A110" s="118" t="s">
        <v>659</v>
      </c>
      <c r="B110" s="111">
        <f>('Pivot Table for Data Exchange'!$E$222)*100</f>
        <v>0</v>
      </c>
      <c r="C110" s="111">
        <f>('Pivot Table for Data Exchange'!$E$225)*100</f>
        <v>0</v>
      </c>
      <c r="D110" s="173">
        <f t="shared" si="24"/>
        <v>0</v>
      </c>
      <c r="E110" s="111">
        <f>('Pivot Table for Data Exchange'!$E$228)*100</f>
        <v>0</v>
      </c>
      <c r="F110" s="111">
        <f>('Pivot Table for Data Exchange'!$E$231)*100</f>
        <v>0</v>
      </c>
      <c r="G110" s="119">
        <f>('Pivot Table for Data Exchange'!$E$234)*100</f>
        <v>0</v>
      </c>
      <c r="H110" s="111">
        <f>('Pivot Table for Data Exchange'!$E$237)*100</f>
        <v>0</v>
      </c>
      <c r="I110" s="118" t="s">
        <v>659</v>
      </c>
      <c r="J110" s="111">
        <f>('Pivot Table for Data Exchange'!$E$240)*100</f>
        <v>0</v>
      </c>
      <c r="K110" s="111">
        <f>('Pivot Table for Data Exchange'!$E$243)*100</f>
        <v>0</v>
      </c>
      <c r="L110" s="173">
        <f t="shared" si="25"/>
        <v>0</v>
      </c>
      <c r="M110" s="111">
        <f>('Pivot Table for Data Exchange'!$E$246)*100</f>
        <v>0</v>
      </c>
      <c r="N110" s="111">
        <f>('Pivot Table for Data Exchange'!$E$249)*100</f>
        <v>0</v>
      </c>
      <c r="O110" s="121">
        <f>('Pivot Table for Data Exchange'!$E$252)*100</f>
        <v>0</v>
      </c>
      <c r="P110" s="111">
        <f>('Pivot Table for Data Exchange'!$E$255)*100</f>
        <v>0</v>
      </c>
      <c r="Q110" s="160">
        <f t="shared" si="14"/>
        <v>0</v>
      </c>
      <c r="R110" s="160">
        <f t="shared" si="15"/>
        <v>0</v>
      </c>
      <c r="S110" s="116"/>
      <c r="T110" s="132"/>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row>
    <row r="111" spans="1:41" ht="15.75" customHeight="1">
      <c r="A111" s="118" t="s">
        <v>700</v>
      </c>
      <c r="B111" s="111">
        <f>('Pivot Table for Data Exchange'!$E$258)*100</f>
        <v>95.715323548215764</v>
      </c>
      <c r="C111" s="111">
        <f>('Pivot Table for Data Exchange'!$E$261)*100</f>
        <v>1.5758762318106725</v>
      </c>
      <c r="D111" s="173">
        <f t="shared" si="24"/>
        <v>2.7088002199735701</v>
      </c>
      <c r="E111" s="111">
        <f>('Pivot Table for Data Exchange'!$E$264)*100</f>
        <v>2.7088002199735701</v>
      </c>
      <c r="F111" s="120">
        <f>('Pivot Table for Data Exchange'!$E$267)*100</f>
        <v>0</v>
      </c>
      <c r="G111" s="121">
        <f>('Pivot Table for Data Exchange'!$E$270)*100</f>
        <v>0</v>
      </c>
      <c r="H111" s="111">
        <f>('Pivot Table for Data Exchange'!$E$273)*100</f>
        <v>0</v>
      </c>
      <c r="I111" s="118" t="s">
        <v>700</v>
      </c>
      <c r="J111" s="111">
        <f>('Pivot Table for Data Exchange'!$E$276)*100</f>
        <v>69.39759378821924</v>
      </c>
      <c r="K111" s="111">
        <f>('Pivot Table for Data Exchange'!$E$279)*100</f>
        <v>23.928439375408857</v>
      </c>
      <c r="L111" s="173">
        <f t="shared" si="25"/>
        <v>6.6739668363719096</v>
      </c>
      <c r="M111" s="111">
        <f>('Pivot Table for Data Exchange'!$E$282)*100</f>
        <v>6.6739668363719096</v>
      </c>
      <c r="N111" s="111">
        <f>('Pivot Table for Data Exchange'!$E$285)*100</f>
        <v>0</v>
      </c>
      <c r="O111" s="119">
        <f>('Pivot Table for Data Exchange'!$E$288)*100</f>
        <v>0</v>
      </c>
      <c r="P111" s="111">
        <f>('Pivot Table for Data Exchange'!$E$291)*100</f>
        <v>0</v>
      </c>
      <c r="Q111" s="160">
        <f t="shared" si="14"/>
        <v>100</v>
      </c>
      <c r="R111" s="160">
        <f t="shared" si="15"/>
        <v>100</v>
      </c>
      <c r="S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row>
    <row r="112" spans="1:41" ht="11.25" customHeight="1">
      <c r="A112" s="118"/>
      <c r="B112" s="111"/>
      <c r="C112" s="111"/>
      <c r="D112" s="173"/>
      <c r="E112" s="111"/>
      <c r="F112" s="111"/>
      <c r="G112" s="119"/>
      <c r="H112" s="111"/>
      <c r="I112" s="118"/>
      <c r="J112" s="111"/>
      <c r="K112" s="111"/>
      <c r="L112" s="173"/>
      <c r="M112" s="111"/>
      <c r="N112" s="111"/>
      <c r="O112" s="119"/>
      <c r="P112" s="111"/>
      <c r="Q112" s="160">
        <f t="shared" si="14"/>
        <v>0</v>
      </c>
      <c r="R112" s="160">
        <f t="shared" si="15"/>
        <v>0</v>
      </c>
      <c r="S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row>
    <row r="113" spans="1:41" ht="15.75" customHeight="1">
      <c r="A113" s="118" t="s">
        <v>661</v>
      </c>
      <c r="B113" s="111">
        <f>('Pivot Table for Data Exchange'!$E$294)*100</f>
        <v>0</v>
      </c>
      <c r="C113" s="111">
        <f>('Pivot Table for Data Exchange'!$E$297)*100</f>
        <v>0</v>
      </c>
      <c r="D113" s="173">
        <f t="shared" ref="D113:D115" si="26">SUM(E113:G113)</f>
        <v>0</v>
      </c>
      <c r="E113" s="111">
        <f>('Pivot Table for Data Exchange'!$E$300)*100</f>
        <v>0</v>
      </c>
      <c r="F113" s="111">
        <f>('Pivot Table for Data Exchange'!$E$303)*100</f>
        <v>0</v>
      </c>
      <c r="G113" s="119">
        <f>('Pivot Table for Data Exchange'!$E$306)*100</f>
        <v>0</v>
      </c>
      <c r="H113" s="111">
        <f>('Pivot Table for Data Exchange'!$E$309)*100</f>
        <v>0</v>
      </c>
      <c r="I113" s="118" t="s">
        <v>661</v>
      </c>
      <c r="J113" s="111">
        <f>('Pivot Table for Data Exchange'!$E$312)*100</f>
        <v>0</v>
      </c>
      <c r="K113" s="111">
        <f>('Pivot Table for Data Exchange'!$E$315)*100</f>
        <v>0</v>
      </c>
      <c r="L113" s="173">
        <f t="shared" ref="L113:L115" si="27">SUM(M113:O113)</f>
        <v>0</v>
      </c>
      <c r="M113" s="111">
        <f>('Pivot Table for Data Exchange'!$E$318)*100</f>
        <v>0</v>
      </c>
      <c r="N113" s="111">
        <f>('Pivot Table for Data Exchange'!$E$321)*100</f>
        <v>0</v>
      </c>
      <c r="O113" s="119">
        <f>('Pivot Table for Data Exchange'!$E$324)*100</f>
        <v>0</v>
      </c>
      <c r="P113" s="114">
        <f>('Pivot Table for Data Exchange'!$E$327)*100</f>
        <v>0</v>
      </c>
      <c r="Q113" s="160">
        <f t="shared" si="14"/>
        <v>0</v>
      </c>
      <c r="R113" s="160">
        <f t="shared" si="15"/>
        <v>0</v>
      </c>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row>
    <row r="114" spans="1:41" ht="15.75" customHeight="1">
      <c r="A114" s="118" t="s">
        <v>662</v>
      </c>
      <c r="B114" s="111">
        <f>('Pivot Table for Data Exchange'!$E$330)*100</f>
        <v>90.83270952033962</v>
      </c>
      <c r="C114" s="111">
        <f>('Pivot Table for Data Exchange'!$E$333)*100</f>
        <v>1.6130933580703162</v>
      </c>
      <c r="D114" s="173">
        <f t="shared" si="26"/>
        <v>7.5541971215900636</v>
      </c>
      <c r="E114" s="111">
        <f>('Pivot Table for Data Exchange'!$E$336)*100</f>
        <v>7.5479299770950785</v>
      </c>
      <c r="F114" s="120">
        <f>('Pivot Table for Data Exchange'!$E$339)*100</f>
        <v>6.2671444949850413E-3</v>
      </c>
      <c r="G114" s="119">
        <f>('Pivot Table for Data Exchange'!$E$342)*100</f>
        <v>0</v>
      </c>
      <c r="H114" s="111">
        <f>('Pivot Table for Data Exchange'!$E$345)*100</f>
        <v>0</v>
      </c>
      <c r="I114" s="118" t="s">
        <v>662</v>
      </c>
      <c r="J114" s="111">
        <f>('Pivot Table for Data Exchange'!$E$348)*100</f>
        <v>61.905335508857227</v>
      </c>
      <c r="K114" s="111">
        <f>('Pivot Table for Data Exchange'!$E$351)*100</f>
        <v>9.1331851348934325</v>
      </c>
      <c r="L114" s="173">
        <f t="shared" si="27"/>
        <v>28.961479356249342</v>
      </c>
      <c r="M114" s="111">
        <f>('Pivot Table for Data Exchange'!$E$354)*100</f>
        <v>28.87277930478141</v>
      </c>
      <c r="N114" s="111">
        <f>('Pivot Table for Data Exchange'!$E$357)*100</f>
        <v>8.8700051467931099E-2</v>
      </c>
      <c r="O114" s="121">
        <f>('Pivot Table for Data Exchange'!$E$360)*100</f>
        <v>0</v>
      </c>
      <c r="P114" s="111">
        <f>('Pivot Table for Data Exchange'!$E$363)*100</f>
        <v>0</v>
      </c>
      <c r="Q114" s="160">
        <f t="shared" si="14"/>
        <v>100</v>
      </c>
      <c r="R114" s="160">
        <f t="shared" si="15"/>
        <v>100</v>
      </c>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row>
    <row r="115" spans="1:41" ht="15.75" customHeight="1">
      <c r="A115" s="118" t="s">
        <v>663</v>
      </c>
      <c r="B115" s="111">
        <f>('Pivot Table for Data Exchange'!$E$366)*100</f>
        <v>91.080894811431449</v>
      </c>
      <c r="C115" s="111">
        <f>('Pivot Table for Data Exchange'!$E$369)*100</f>
        <v>0.64910228765597022</v>
      </c>
      <c r="D115" s="173">
        <f t="shared" si="26"/>
        <v>8.2700029009125871</v>
      </c>
      <c r="E115" s="111">
        <f>('Pivot Table for Data Exchange'!$E$372)*100</f>
        <v>7.4002834394845616</v>
      </c>
      <c r="F115" s="111">
        <f>('Pivot Table for Data Exchange'!$E$375)*100</f>
        <v>0.20879179762346894</v>
      </c>
      <c r="G115" s="119">
        <f>('Pivot Table for Data Exchange'!$E$378)*100</f>
        <v>0.66092766380455603</v>
      </c>
      <c r="H115" s="111">
        <f>('Pivot Table for Data Exchange'!$E$381)*100</f>
        <v>0</v>
      </c>
      <c r="I115" s="118" t="s">
        <v>663</v>
      </c>
      <c r="J115" s="111">
        <f>('Pivot Table for Data Exchange'!$E$384)*100</f>
        <v>88.912944393801268</v>
      </c>
      <c r="K115" s="111">
        <f>('Pivot Table for Data Exchange'!$E$387)*100</f>
        <v>1.8277119416590701</v>
      </c>
      <c r="L115" s="173">
        <f t="shared" si="27"/>
        <v>9.259343664539653</v>
      </c>
      <c r="M115" s="111">
        <f>('Pivot Table for Data Exchange'!$E$390)*100</f>
        <v>4.6718322698268002</v>
      </c>
      <c r="N115" s="111">
        <f>('Pivot Table for Data Exchange'!$E$393)*100</f>
        <v>1.5565177757520512</v>
      </c>
      <c r="O115" s="119">
        <f>('Pivot Table for Data Exchange'!$E$396)*100</f>
        <v>3.0309936189608022</v>
      </c>
      <c r="P115" s="111">
        <f>('Pivot Table for Data Exchange'!$E$399)*100</f>
        <v>0</v>
      </c>
      <c r="Q115" s="160">
        <f t="shared" si="14"/>
        <v>100</v>
      </c>
      <c r="R115" s="160">
        <f t="shared" si="15"/>
        <v>100</v>
      </c>
      <c r="S115" s="116"/>
      <c r="T115" s="132"/>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row>
    <row r="116" spans="1:41" ht="15.75" customHeight="1">
      <c r="A116" s="118" t="s">
        <v>664</v>
      </c>
      <c r="B116" s="111">
        <f>('Pivot Table for Data Exchange'!$E$402)*100</f>
        <v>99.62382416202793</v>
      </c>
      <c r="C116" s="111">
        <f>('Pivot Table for Data Exchange'!$E$405)*100</f>
        <v>0.37617583797206605</v>
      </c>
      <c r="D116" s="173">
        <f>SUM(E116:G116)</f>
        <v>0</v>
      </c>
      <c r="E116" s="111">
        <f>('Pivot Table for Data Exchange'!$E$408)*100</f>
        <v>0</v>
      </c>
      <c r="F116" s="111">
        <f>('Pivot Table for Data Exchange'!$E$411)*100</f>
        <v>0</v>
      </c>
      <c r="G116" s="119">
        <f>('Pivot Table for Data Exchange'!$E$414)*100</f>
        <v>0</v>
      </c>
      <c r="H116" s="111">
        <f>('Pivot Table for Data Exchange'!$E$417)*100</f>
        <v>0</v>
      </c>
      <c r="I116" s="118" t="s">
        <v>664</v>
      </c>
      <c r="J116" s="111">
        <f>('Pivot Table for Data Exchange'!$E$420)*100</f>
        <v>75.41789037411138</v>
      </c>
      <c r="K116" s="111">
        <f>('Pivot Table for Data Exchange'!$E$423)*100</f>
        <v>24.326846540224523</v>
      </c>
      <c r="L116" s="173">
        <f>SUM(M116:O116)</f>
        <v>0.25526308566409578</v>
      </c>
      <c r="M116" s="111">
        <f>('Pivot Table for Data Exchange'!$E$426)*100</f>
        <v>0.25526308566409578</v>
      </c>
      <c r="N116" s="120">
        <f>('Pivot Table for Data Exchange'!$E$429)*100</f>
        <v>0</v>
      </c>
      <c r="O116" s="119">
        <f>('Pivot Table for Data Exchange'!$E$432)*100</f>
        <v>0</v>
      </c>
      <c r="P116" s="111">
        <f>('Pivot Table for Data Exchange'!$E$435)*100</f>
        <v>0</v>
      </c>
      <c r="Q116" s="160">
        <f t="shared" si="14"/>
        <v>100</v>
      </c>
      <c r="R116" s="160">
        <f t="shared" si="15"/>
        <v>100</v>
      </c>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row>
    <row r="117" spans="1:41" ht="11.25" customHeight="1">
      <c r="A117" s="118"/>
      <c r="B117" s="111"/>
      <c r="C117" s="111"/>
      <c r="D117" s="173"/>
      <c r="E117" s="111"/>
      <c r="F117" s="111"/>
      <c r="G117" s="119"/>
      <c r="H117" s="111"/>
      <c r="I117" s="118"/>
      <c r="J117" s="111"/>
      <c r="K117" s="111"/>
      <c r="L117" s="173"/>
      <c r="M117" s="111"/>
      <c r="N117" s="111"/>
      <c r="O117" s="119"/>
      <c r="P117" s="111"/>
      <c r="Q117" s="160">
        <f t="shared" si="14"/>
        <v>0</v>
      </c>
      <c r="R117" s="160">
        <f t="shared" si="15"/>
        <v>0</v>
      </c>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row>
    <row r="118" spans="1:41" ht="15.75" customHeight="1">
      <c r="A118" s="118" t="s">
        <v>665</v>
      </c>
      <c r="B118" s="111">
        <f>('Pivot Table for Data Exchange'!$E$438)*100</f>
        <v>85.165881279606609</v>
      </c>
      <c r="C118" s="111">
        <f>('Pivot Table for Data Exchange'!$E$441)*100</f>
        <v>2.0675082478289197</v>
      </c>
      <c r="D118" s="173">
        <f>SUM(E118:G118)</f>
        <v>12.11426046669024</v>
      </c>
      <c r="E118" s="111">
        <f>('Pivot Table for Data Exchange'!$E$444)*100</f>
        <v>8.6367093453284038</v>
      </c>
      <c r="F118" s="111">
        <f>('Pivot Table for Data Exchange'!$E$447)*100</f>
        <v>0.721829075866535</v>
      </c>
      <c r="G118" s="119">
        <f>('Pivot Table for Data Exchange'!$E$450)*100</f>
        <v>2.7557220454953</v>
      </c>
      <c r="H118" s="111">
        <f>('Pivot Table for Data Exchange'!$E$453)*100</f>
        <v>0.65235000587424175</v>
      </c>
      <c r="I118" s="118" t="s">
        <v>665</v>
      </c>
      <c r="J118" s="111">
        <f>('Pivot Table for Data Exchange'!$E$456)*100</f>
        <v>60.885401926564157</v>
      </c>
      <c r="K118" s="111">
        <f>('Pivot Table for Data Exchange'!$E$459)*100</f>
        <v>7.1349957548504763</v>
      </c>
      <c r="L118" s="173">
        <f>SUM(M118:O118)</f>
        <v>24.589373499785122</v>
      </c>
      <c r="M118" s="111">
        <f>('Pivot Table for Data Exchange'!$E$462)*100</f>
        <v>21.627726591406979</v>
      </c>
      <c r="N118" s="111">
        <f>('Pivot Table for Data Exchange'!$E$465)*100</f>
        <v>0.53929121725731899</v>
      </c>
      <c r="O118" s="119">
        <f>('Pivot Table for Data Exchange'!$E$468)*100</f>
        <v>2.4223556911208246</v>
      </c>
      <c r="P118" s="111">
        <f>('Pivot Table for Data Exchange'!$E$471)*100</f>
        <v>7.3902288188002467</v>
      </c>
      <c r="Q118" s="160">
        <f t="shared" si="14"/>
        <v>100.00000000000001</v>
      </c>
      <c r="R118" s="160">
        <f t="shared" si="15"/>
        <v>100.00000000000001</v>
      </c>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row>
    <row r="119" spans="1:41" ht="15.75" customHeight="1">
      <c r="A119" s="118" t="s">
        <v>666</v>
      </c>
      <c r="B119" s="111">
        <f>('Pivot Table for Data Exchange'!$E$474)*100</f>
        <v>90.855103012067843</v>
      </c>
      <c r="C119" s="111">
        <f>('Pivot Table for Data Exchange'!$E$477)*100</f>
        <v>3.411369443535714</v>
      </c>
      <c r="D119" s="173">
        <f>SUM(E119:G119)</f>
        <v>5.7335275443964306</v>
      </c>
      <c r="E119" s="111">
        <f>('Pivot Table for Data Exchange'!$E$480)*100</f>
        <v>5.3619306340626869</v>
      </c>
      <c r="F119" s="111">
        <f>('Pivot Table for Data Exchange'!$E$483)*100</f>
        <v>0.32468871453073717</v>
      </c>
      <c r="G119" s="119">
        <f>('Pivot Table for Data Exchange'!$E$486)*100</f>
        <v>4.6908195803006827E-2</v>
      </c>
      <c r="H119" s="111">
        <f>('Pivot Table for Data Exchange'!$E$489)*100</f>
        <v>0</v>
      </c>
      <c r="I119" s="118" t="s">
        <v>666</v>
      </c>
      <c r="J119" s="111">
        <f>('Pivot Table for Data Exchange'!$E$492)*100</f>
        <v>58.565034203834209</v>
      </c>
      <c r="K119" s="111">
        <f>('Pivot Table for Data Exchange'!$E$495)*100</f>
        <v>10.637282961266934</v>
      </c>
      <c r="L119" s="173">
        <f>SUM(M119:O119)</f>
        <v>30.797682834898858</v>
      </c>
      <c r="M119" s="111">
        <f>('Pivot Table for Data Exchange'!$E$498)*100</f>
        <v>17.958498722243597</v>
      </c>
      <c r="N119" s="111">
        <f>('Pivot Table for Data Exchange'!$E$501)*100</f>
        <v>0.42023640839409326</v>
      </c>
      <c r="O119" s="119">
        <f>('Pivot Table for Data Exchange'!$E$504)*100</f>
        <v>12.418947704261168</v>
      </c>
      <c r="P119" s="111">
        <f>('Pivot Table for Data Exchange'!$E$507)*100</f>
        <v>0</v>
      </c>
      <c r="Q119" s="160">
        <f t="shared" si="14"/>
        <v>100</v>
      </c>
      <c r="R119" s="160">
        <f t="shared" si="15"/>
        <v>100</v>
      </c>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row>
    <row r="120" spans="1:41" ht="15.75" customHeight="1">
      <c r="A120" s="118" t="s">
        <v>667</v>
      </c>
      <c r="B120" s="111">
        <f>('Pivot Table for Data Exchange'!$E$510)*100</f>
        <v>0</v>
      </c>
      <c r="C120" s="111">
        <f>('Pivot Table for Data Exchange'!$E$513)*100</f>
        <v>0</v>
      </c>
      <c r="D120" s="173">
        <f t="shared" ref="D120" si="28">SUM(E120:G120)</f>
        <v>0</v>
      </c>
      <c r="E120" s="111">
        <f>('Pivot Table for Data Exchange'!$E$516)*100</f>
        <v>0</v>
      </c>
      <c r="F120" s="111">
        <f>('Pivot Table for Data Exchange'!$E$519)*100</f>
        <v>0</v>
      </c>
      <c r="G120" s="119">
        <f>('Pivot Table for Data Exchange'!$E$522)*100</f>
        <v>0</v>
      </c>
      <c r="H120" s="111">
        <f>('Pivot Table for Data Exchange'!$E$525)*100</f>
        <v>0</v>
      </c>
      <c r="I120" s="118" t="s">
        <v>667</v>
      </c>
      <c r="J120" s="111">
        <f>('Pivot Table for Data Exchange'!$E$528)*100</f>
        <v>0</v>
      </c>
      <c r="K120" s="111">
        <f>('Pivot Table for Data Exchange'!$E$531)*100</f>
        <v>0</v>
      </c>
      <c r="L120" s="173">
        <f t="shared" ref="L120" si="29">SUM(M120:O120)</f>
        <v>0</v>
      </c>
      <c r="M120" s="111">
        <f>('Pivot Table for Data Exchange'!$E$534)*100</f>
        <v>0</v>
      </c>
      <c r="N120" s="111">
        <f>('Pivot Table for Data Exchange'!$E$537)*100</f>
        <v>0</v>
      </c>
      <c r="O120" s="119">
        <f>('Pivot Table for Data Exchange'!$E$540)*100</f>
        <v>0</v>
      </c>
      <c r="P120" s="111">
        <f>('Pivot Table for Data Exchange'!$E$543)*100</f>
        <v>0</v>
      </c>
      <c r="Q120" s="160">
        <f t="shared" si="14"/>
        <v>0</v>
      </c>
      <c r="R120" s="160">
        <f t="shared" si="15"/>
        <v>0</v>
      </c>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row>
    <row r="121" spans="1:41" ht="15.75" customHeight="1">
      <c r="A121" s="91" t="s">
        <v>668</v>
      </c>
      <c r="B121" s="122">
        <f>('Pivot Table for Data Exchange'!$E$546)*100</f>
        <v>82.339295597188041</v>
      </c>
      <c r="C121" s="122">
        <f>('Pivot Table for Data Exchange'!$E$549)*100</f>
        <v>5.3358140119088269</v>
      </c>
      <c r="D121" s="174">
        <f>SUM(E121:G121)</f>
        <v>12.324890390903132</v>
      </c>
      <c r="E121" s="122">
        <f>('Pivot Table for Data Exchange'!$E$552)*100</f>
        <v>12.2342200189191</v>
      </c>
      <c r="F121" s="122">
        <f>('Pivot Table for Data Exchange'!$E$555)*100</f>
        <v>9.0670371984032591E-2</v>
      </c>
      <c r="G121" s="124">
        <f>('Pivot Table for Data Exchange'!$E$558)*100</f>
        <v>0</v>
      </c>
      <c r="H121" s="125">
        <f>('Pivot Table for Data Exchange'!$E$561)*100</f>
        <v>0</v>
      </c>
      <c r="I121" s="91" t="s">
        <v>668</v>
      </c>
      <c r="J121" s="122">
        <f>('Pivot Table for Data Exchange'!$E$564)*100</f>
        <v>32.52623083131558</v>
      </c>
      <c r="K121" s="122">
        <f>('Pivot Table for Data Exchange'!$E$567)*100</f>
        <v>44.236391355035423</v>
      </c>
      <c r="L121" s="174">
        <f>SUM(M121:O121)</f>
        <v>23.237377813648997</v>
      </c>
      <c r="M121" s="122">
        <f>('Pivot Table for Data Exchange'!$E$570)*100</f>
        <v>21.660837593040981</v>
      </c>
      <c r="N121" s="122">
        <f>('Pivot Table for Data Exchange'!$E$573)*100</f>
        <v>1.5765402206080172</v>
      </c>
      <c r="O121" s="124">
        <f>('Pivot Table for Data Exchange'!$E$576)*100</f>
        <v>0</v>
      </c>
      <c r="P121" s="122">
        <f>('Pivot Table for Data Exchange'!$E$579)*100</f>
        <v>0</v>
      </c>
      <c r="Q121" s="160">
        <f t="shared" si="14"/>
        <v>100</v>
      </c>
      <c r="R121" s="160">
        <f t="shared" si="15"/>
        <v>100</v>
      </c>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row>
    <row r="122" spans="1:41" s="60" customFormat="1" ht="18" customHeight="1">
      <c r="A122" s="58" t="s">
        <v>697</v>
      </c>
      <c r="B122" s="126"/>
      <c r="C122" s="126"/>
      <c r="D122" s="127"/>
      <c r="E122" s="126"/>
      <c r="F122" s="127"/>
      <c r="G122" s="127"/>
      <c r="H122" s="126"/>
      <c r="I122" s="58" t="s">
        <v>697</v>
      </c>
      <c r="J122" s="126"/>
      <c r="K122" s="126"/>
      <c r="L122" s="127"/>
      <c r="M122" s="126"/>
      <c r="N122" s="127"/>
      <c r="O122" s="127"/>
      <c r="P122" s="126"/>
      <c r="Q122" s="160"/>
      <c r="R122" s="160"/>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row>
    <row r="123" spans="1:41" s="60" customFormat="1" ht="28.5" customHeight="1">
      <c r="A123" s="649" t="s">
        <v>698</v>
      </c>
      <c r="B123" s="654"/>
      <c r="C123" s="654"/>
      <c r="D123" s="654"/>
      <c r="E123" s="654"/>
      <c r="F123" s="654"/>
      <c r="G123" s="654"/>
      <c r="H123" s="654"/>
      <c r="I123" s="649" t="s">
        <v>698</v>
      </c>
      <c r="J123" s="654"/>
      <c r="K123" s="654"/>
      <c r="L123" s="654"/>
      <c r="M123" s="654"/>
      <c r="N123" s="654"/>
      <c r="O123" s="654"/>
      <c r="P123" s="654"/>
      <c r="Q123" s="160"/>
      <c r="R123" s="160"/>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row>
    <row r="124" spans="1:41" s="60" customFormat="1" ht="13.5" customHeight="1">
      <c r="A124" s="134"/>
      <c r="B124" s="135"/>
      <c r="H124" s="62"/>
      <c r="I124" s="134"/>
      <c r="P124" s="136"/>
      <c r="Q124" s="160"/>
      <c r="R124" s="160"/>
    </row>
    <row r="125" spans="1:41" s="60" customFormat="1" ht="13.5" customHeight="1">
      <c r="H125" s="64" t="s">
        <v>1034</v>
      </c>
      <c r="I125" s="134"/>
      <c r="P125" s="64" t="s">
        <v>1034</v>
      </c>
      <c r="Q125" s="160"/>
      <c r="R125" s="160"/>
    </row>
    <row r="126" spans="1:41" ht="18">
      <c r="A126" s="31" t="s">
        <v>1015</v>
      </c>
      <c r="B126" s="86"/>
      <c r="C126" s="86"/>
      <c r="D126" s="86"/>
      <c r="E126" s="86"/>
      <c r="F126" s="86"/>
      <c r="G126" s="86"/>
      <c r="H126" s="87"/>
      <c r="I126" s="31" t="s">
        <v>1030</v>
      </c>
      <c r="J126" s="38"/>
      <c r="K126" s="38"/>
      <c r="L126" s="86"/>
      <c r="M126" s="38"/>
      <c r="N126" s="38"/>
      <c r="O126" s="38"/>
      <c r="P126" s="38"/>
      <c r="Q126" s="160"/>
      <c r="R126" s="160"/>
    </row>
    <row r="127" spans="1:41">
      <c r="A127" s="37"/>
      <c r="B127" s="38"/>
      <c r="C127" s="38"/>
      <c r="D127" s="38"/>
      <c r="E127" s="38"/>
      <c r="F127" s="38"/>
      <c r="G127" s="38"/>
      <c r="H127" s="88"/>
      <c r="I127" s="37"/>
      <c r="J127" s="38"/>
      <c r="K127" s="38"/>
      <c r="L127" s="38"/>
      <c r="M127" s="38"/>
      <c r="N127" s="38"/>
      <c r="O127" s="38"/>
      <c r="P127" s="38"/>
      <c r="Q127" s="160"/>
      <c r="R127" s="160"/>
    </row>
    <row r="128" spans="1:41" ht="15.75">
      <c r="A128" s="89" t="s">
        <v>683</v>
      </c>
      <c r="B128" s="38"/>
      <c r="C128" s="38"/>
      <c r="D128" s="38"/>
      <c r="E128" s="38"/>
      <c r="F128" s="38"/>
      <c r="G128" s="38"/>
      <c r="H128" s="88"/>
      <c r="I128" s="89" t="s">
        <v>684</v>
      </c>
      <c r="J128" s="38"/>
      <c r="K128" s="38"/>
      <c r="L128" s="38"/>
      <c r="M128" s="38"/>
      <c r="N128" s="38"/>
      <c r="O128" s="38"/>
      <c r="P128" s="38"/>
      <c r="Q128" s="160"/>
      <c r="R128" s="160"/>
    </row>
    <row r="129" spans="1:41" ht="15.75">
      <c r="A129" s="89" t="s">
        <v>993</v>
      </c>
      <c r="B129" s="38"/>
      <c r="C129" s="38"/>
      <c r="D129" s="38"/>
      <c r="E129" s="38"/>
      <c r="F129" s="38"/>
      <c r="G129" s="38"/>
      <c r="H129" s="88"/>
      <c r="I129" s="89" t="s">
        <v>993</v>
      </c>
      <c r="J129" s="38"/>
      <c r="K129" s="38"/>
      <c r="L129" s="38"/>
      <c r="M129" s="38"/>
      <c r="N129" s="38"/>
      <c r="O129" s="38"/>
      <c r="P129" s="38"/>
      <c r="Q129" s="160"/>
      <c r="R129" s="160"/>
    </row>
    <row r="130" spans="1:41">
      <c r="A130" s="91"/>
      <c r="B130" s="92"/>
      <c r="C130" s="92"/>
      <c r="D130" s="92"/>
      <c r="E130" s="92"/>
      <c r="F130" s="92"/>
      <c r="G130" s="92"/>
      <c r="H130" s="92"/>
      <c r="I130" s="93"/>
      <c r="L130" s="94"/>
      <c r="P130" s="91"/>
      <c r="Q130" s="160"/>
      <c r="R130" s="160"/>
    </row>
    <row r="131" spans="1:41" s="100" customFormat="1">
      <c r="A131" s="95"/>
      <c r="B131" s="96" t="s">
        <v>685</v>
      </c>
      <c r="C131" s="96"/>
      <c r="D131" s="96"/>
      <c r="E131" s="96"/>
      <c r="F131" s="96"/>
      <c r="G131" s="96"/>
      <c r="H131" s="97"/>
      <c r="I131" s="95"/>
      <c r="J131" s="96" t="s">
        <v>685</v>
      </c>
      <c r="K131" s="96"/>
      <c r="L131" s="96"/>
      <c r="M131" s="96"/>
      <c r="N131" s="96"/>
      <c r="O131" s="96"/>
      <c r="P131" s="97"/>
      <c r="Q131" s="160"/>
      <c r="R131" s="160"/>
    </row>
    <row r="132" spans="1:41" s="100" customFormat="1">
      <c r="A132" s="95"/>
      <c r="B132" s="96" t="s">
        <v>686</v>
      </c>
      <c r="C132" s="96"/>
      <c r="D132" s="647" t="s">
        <v>687</v>
      </c>
      <c r="E132" s="648"/>
      <c r="F132" s="648"/>
      <c r="G132" s="648"/>
      <c r="H132" s="101" t="s">
        <v>59</v>
      </c>
      <c r="I132" s="95"/>
      <c r="J132" s="96" t="s">
        <v>686</v>
      </c>
      <c r="K132" s="96"/>
      <c r="L132" s="647" t="s">
        <v>687</v>
      </c>
      <c r="M132" s="648"/>
      <c r="N132" s="648"/>
      <c r="O132" s="648"/>
      <c r="P132" s="101" t="s">
        <v>59</v>
      </c>
      <c r="Q132" s="160"/>
      <c r="R132" s="160"/>
    </row>
    <row r="133" spans="1:41" s="100" customFormat="1" ht="40.5" customHeight="1">
      <c r="A133" s="95"/>
      <c r="B133" s="102" t="s">
        <v>688</v>
      </c>
      <c r="C133" s="103" t="s">
        <v>689</v>
      </c>
      <c r="D133" s="104" t="s">
        <v>690</v>
      </c>
      <c r="E133" s="105" t="s">
        <v>9</v>
      </c>
      <c r="F133" s="102" t="s">
        <v>691</v>
      </c>
      <c r="G133" s="106" t="s">
        <v>692</v>
      </c>
      <c r="H133" s="107" t="s">
        <v>693</v>
      </c>
      <c r="I133" s="95"/>
      <c r="J133" s="102" t="s">
        <v>688</v>
      </c>
      <c r="K133" s="103" t="s">
        <v>689</v>
      </c>
      <c r="L133" s="104" t="s">
        <v>690</v>
      </c>
      <c r="M133" s="105" t="s">
        <v>9</v>
      </c>
      <c r="N133" s="102" t="s">
        <v>691</v>
      </c>
      <c r="O133" s="106" t="s">
        <v>692</v>
      </c>
      <c r="P133" s="107" t="s">
        <v>693</v>
      </c>
      <c r="Q133" s="160"/>
      <c r="R133" s="160"/>
      <c r="T133" s="131"/>
    </row>
    <row r="134" spans="1:41" ht="15.75" customHeight="1">
      <c r="A134" s="115" t="s">
        <v>653</v>
      </c>
      <c r="B134" s="111">
        <f>('Pivot Table for Data Exchange'!$F$6)*100</f>
        <v>92.817073613616273</v>
      </c>
      <c r="C134" s="111">
        <f>('Pivot Table for Data Exchange'!$F$9)*100</f>
        <v>0.57380125170990348</v>
      </c>
      <c r="D134" s="173">
        <f>SUM(E134:G134)</f>
        <v>6.6091251346738167</v>
      </c>
      <c r="E134" s="111">
        <f>('Pivot Table for Data Exchange'!$F$12)*100</f>
        <v>6.6091251346738167</v>
      </c>
      <c r="F134" s="111">
        <f>('Pivot Table for Data Exchange'!$F$15)*100</f>
        <v>0</v>
      </c>
      <c r="G134" s="113">
        <f>('Pivot Table for Data Exchange'!$F$18)*100</f>
        <v>0</v>
      </c>
      <c r="H134" s="120">
        <f>('Pivot Table for Data Exchange'!$F$21)*100</f>
        <v>0</v>
      </c>
      <c r="I134" s="115" t="s">
        <v>653</v>
      </c>
      <c r="J134" s="111">
        <f>('Pivot Table for Data Exchange'!$F$24)*100</f>
        <v>74.751803366283724</v>
      </c>
      <c r="K134" s="111">
        <f>('Pivot Table for Data Exchange'!$F$27)*100</f>
        <v>3.1525514293347578</v>
      </c>
      <c r="L134" s="173">
        <f>SUM(M134:O134)</f>
        <v>22.095645204381512</v>
      </c>
      <c r="M134" s="111">
        <f>('Pivot Table for Data Exchange'!$F$30)*100</f>
        <v>21.358268768367619</v>
      </c>
      <c r="N134" s="111">
        <f>('Pivot Table for Data Exchange'!$F$33)*100</f>
        <v>0.73737643601389258</v>
      </c>
      <c r="O134" s="113">
        <f>('Pivot Table for Data Exchange'!$F$36)*100</f>
        <v>0</v>
      </c>
      <c r="P134" s="111">
        <f>('Pivot Table for Data Exchange'!$F$39)*100</f>
        <v>0</v>
      </c>
      <c r="Q134" s="160">
        <f t="shared" si="14"/>
        <v>100</v>
      </c>
      <c r="R134" s="160">
        <f t="shared" si="15"/>
        <v>100</v>
      </c>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row>
    <row r="135" spans="1:41" ht="15.75" customHeight="1">
      <c r="A135" s="118" t="s">
        <v>654</v>
      </c>
      <c r="B135" s="111">
        <f>('Pivot Table for Data Exchange'!$F$42)*100</f>
        <v>85.492025038260948</v>
      </c>
      <c r="C135" s="111">
        <f>('Pivot Table for Data Exchange'!$F$45)*100</f>
        <v>3.2668692744561869</v>
      </c>
      <c r="D135" s="173">
        <f t="shared" ref="D135:D137" si="30">SUM(E135:G135)</f>
        <v>11.241105687282856</v>
      </c>
      <c r="E135" s="111">
        <f>('Pivot Table for Data Exchange'!$F$48)*100</f>
        <v>11.241105687282856</v>
      </c>
      <c r="F135" s="111">
        <f>('Pivot Table for Data Exchange'!$F$51)*100</f>
        <v>0</v>
      </c>
      <c r="G135" s="119">
        <f>('Pivot Table for Data Exchange'!$F$54)*100</f>
        <v>0</v>
      </c>
      <c r="H135" s="111">
        <f>('Pivot Table for Data Exchange'!$F$57)*100</f>
        <v>0</v>
      </c>
      <c r="I135" s="118" t="s">
        <v>654</v>
      </c>
      <c r="J135" s="111">
        <f>('Pivot Table for Data Exchange'!$F$60)*100</f>
        <v>65.706203854636115</v>
      </c>
      <c r="K135" s="111">
        <f>('Pivot Table for Data Exchange'!$F$63)*100</f>
        <v>18.99510979000863</v>
      </c>
      <c r="L135" s="173">
        <f t="shared" ref="L135:L137" si="31">SUM(M135:O135)</f>
        <v>15.29868635535526</v>
      </c>
      <c r="M135" s="111">
        <f>('Pivot Table for Data Exchange'!$F$66)*100</f>
        <v>15.226771502540991</v>
      </c>
      <c r="N135" s="111">
        <f>('Pivot Table for Data Exchange'!$F$69)*100</f>
        <v>7.1914852814267904E-2</v>
      </c>
      <c r="O135" s="119">
        <f>('Pivot Table for Data Exchange'!$F$72)*100</f>
        <v>0</v>
      </c>
      <c r="P135" s="120">
        <f>('Pivot Table for Data Exchange'!$F$75)*100</f>
        <v>0</v>
      </c>
      <c r="Q135" s="160">
        <f t="shared" si="14"/>
        <v>99.999999999999986</v>
      </c>
      <c r="R135" s="160">
        <f t="shared" si="15"/>
        <v>100</v>
      </c>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row>
    <row r="136" spans="1:41" ht="15.75" customHeight="1">
      <c r="A136" s="118" t="s">
        <v>655</v>
      </c>
      <c r="B136" s="111">
        <f>('Pivot Table for Data Exchange'!$F$78)*100</f>
        <v>0</v>
      </c>
      <c r="C136" s="111">
        <f>('Pivot Table for Data Exchange'!$F$81)*100</f>
        <v>0</v>
      </c>
      <c r="D136" s="173">
        <f t="shared" si="30"/>
        <v>0</v>
      </c>
      <c r="E136" s="111">
        <f>('Pivot Table for Data Exchange'!$F$84)*100</f>
        <v>0</v>
      </c>
      <c r="F136" s="111">
        <f>('Pivot Table for Data Exchange'!$F$87)*100</f>
        <v>0</v>
      </c>
      <c r="G136" s="119">
        <f>('Pivot Table for Data Exchange'!$F$90)*100</f>
        <v>0</v>
      </c>
      <c r="H136" s="111">
        <f>('Pivot Table for Data Exchange'!$F$93)*100</f>
        <v>0</v>
      </c>
      <c r="I136" s="118" t="s">
        <v>655</v>
      </c>
      <c r="J136" s="111">
        <f>('Pivot Table for Data Exchange'!$F$96)*100</f>
        <v>0</v>
      </c>
      <c r="K136" s="111">
        <f>('Pivot Table for Data Exchange'!$F$99)*100</f>
        <v>0</v>
      </c>
      <c r="L136" s="173">
        <f t="shared" si="31"/>
        <v>0</v>
      </c>
      <c r="M136" s="111">
        <f>('Pivot Table for Data Exchange'!$F$102)*100</f>
        <v>0</v>
      </c>
      <c r="N136" s="111">
        <f>('Pivot Table for Data Exchange'!$F$105)*100</f>
        <v>0</v>
      </c>
      <c r="O136" s="119">
        <f>('Pivot Table for Data Exchange'!$F$108)*100</f>
        <v>0</v>
      </c>
      <c r="P136" s="111">
        <f>('Pivot Table for Data Exchange'!$F$111)*100</f>
        <v>0</v>
      </c>
      <c r="Q136" s="160">
        <f t="shared" si="14"/>
        <v>0</v>
      </c>
      <c r="R136" s="160">
        <f t="shared" si="15"/>
        <v>0</v>
      </c>
      <c r="S136" s="116"/>
      <c r="T136" s="132"/>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row>
    <row r="137" spans="1:41" ht="15.75" customHeight="1">
      <c r="A137" s="118" t="s">
        <v>656</v>
      </c>
      <c r="B137" s="111">
        <f>('Pivot Table for Data Exchange'!$F$114)*100</f>
        <v>79.843278402763204</v>
      </c>
      <c r="C137" s="111">
        <f>('Pivot Table for Data Exchange'!$F$117)*100</f>
        <v>2.6643478541569152</v>
      </c>
      <c r="D137" s="173">
        <f t="shared" si="30"/>
        <v>17.492373743079877</v>
      </c>
      <c r="E137" s="111">
        <f>('Pivot Table for Data Exchange'!$F$120)*100</f>
        <v>17.463321335765126</v>
      </c>
      <c r="F137" s="111">
        <f>('Pivot Table for Data Exchange'!$F$123)*100</f>
        <v>0</v>
      </c>
      <c r="G137" s="119">
        <f>('Pivot Table for Data Exchange'!$F$126)*100</f>
        <v>2.9052407314750554E-2</v>
      </c>
      <c r="H137" s="111">
        <f>('Pivot Table for Data Exchange'!$F$129)*100</f>
        <v>0</v>
      </c>
      <c r="I137" s="118" t="s">
        <v>695</v>
      </c>
      <c r="J137" s="111">
        <f>('Pivot Table for Data Exchange'!$F$132)*100</f>
        <v>55.132726935214407</v>
      </c>
      <c r="K137" s="111">
        <f>('Pivot Table for Data Exchange'!$F$135)*100</f>
        <v>4.7382587711156487</v>
      </c>
      <c r="L137" s="173">
        <f t="shared" si="31"/>
        <v>40.129014293669947</v>
      </c>
      <c r="M137" s="111">
        <f>('Pivot Table for Data Exchange'!$F$138)*100</f>
        <v>40.129014293669947</v>
      </c>
      <c r="N137" s="111">
        <f>('Pivot Table for Data Exchange'!$F$141)*100</f>
        <v>0</v>
      </c>
      <c r="O137" s="119">
        <f>('Pivot Table for Data Exchange'!$F$144)*100</f>
        <v>0</v>
      </c>
      <c r="P137" s="111">
        <f>('Pivot Table for Data Exchange'!$F$147)*100</f>
        <v>0</v>
      </c>
      <c r="Q137" s="160">
        <f t="shared" si="14"/>
        <v>100</v>
      </c>
      <c r="R137" s="160">
        <f t="shared" si="15"/>
        <v>100</v>
      </c>
      <c r="S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row>
    <row r="138" spans="1:41" ht="15.75" customHeight="1">
      <c r="A138" s="118"/>
      <c r="B138" s="111"/>
      <c r="C138" s="111"/>
      <c r="D138" s="173"/>
      <c r="E138" s="111"/>
      <c r="F138" s="111"/>
      <c r="G138" s="119"/>
      <c r="H138" s="111"/>
      <c r="I138" s="118"/>
      <c r="J138" s="111"/>
      <c r="K138" s="111"/>
      <c r="L138" s="173"/>
      <c r="M138" s="111"/>
      <c r="N138" s="111"/>
      <c r="O138" s="119"/>
      <c r="P138" s="111"/>
      <c r="Q138" s="160">
        <f t="shared" si="14"/>
        <v>0</v>
      </c>
      <c r="R138" s="160">
        <f t="shared" si="15"/>
        <v>0</v>
      </c>
      <c r="S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row>
    <row r="139" spans="1:41" ht="15.75" customHeight="1">
      <c r="A139" s="118" t="s">
        <v>657</v>
      </c>
      <c r="B139" s="111">
        <f>('Pivot Table for Data Exchange'!$F$150)*100</f>
        <v>0</v>
      </c>
      <c r="C139" s="111">
        <f>('Pivot Table for Data Exchange'!$F$153)*100</f>
        <v>0</v>
      </c>
      <c r="D139" s="173">
        <f t="shared" ref="D139:D142" si="32">SUM(E139:G139)</f>
        <v>0</v>
      </c>
      <c r="E139" s="111">
        <f>('Pivot Table for Data Exchange'!$F$156)*100</f>
        <v>0</v>
      </c>
      <c r="F139" s="111">
        <f>('Pivot Table for Data Exchange'!$F$159)*100</f>
        <v>0</v>
      </c>
      <c r="G139" s="119">
        <f>('Pivot Table for Data Exchange'!$F$162)*100</f>
        <v>0</v>
      </c>
      <c r="H139" s="120">
        <f>('Pivot Table for Data Exchange'!$F$165)*100</f>
        <v>0</v>
      </c>
      <c r="I139" s="118" t="s">
        <v>657</v>
      </c>
      <c r="J139" s="111">
        <f>('Pivot Table for Data Exchange'!$F$168)*100</f>
        <v>0</v>
      </c>
      <c r="K139" s="111">
        <f>('Pivot Table for Data Exchange'!$F$171)*100</f>
        <v>0</v>
      </c>
      <c r="L139" s="173">
        <f t="shared" ref="L139:L142" si="33">SUM(M139:O139)</f>
        <v>0</v>
      </c>
      <c r="M139" s="111">
        <f>('Pivot Table for Data Exchange'!$F$174)*100</f>
        <v>0</v>
      </c>
      <c r="N139" s="111">
        <f>('Pivot Table for Data Exchange'!$F$177)*100</f>
        <v>0</v>
      </c>
      <c r="O139" s="121">
        <f>('Pivot Table for Data Exchange'!$F$180)*100</f>
        <v>0</v>
      </c>
      <c r="P139" s="114">
        <f>('Pivot Table for Data Exchange'!$F$183)*100</f>
        <v>0</v>
      </c>
      <c r="Q139" s="160">
        <f t="shared" ref="Q139:Q202" si="34">SUM(B139,C139,D139,H139)</f>
        <v>0</v>
      </c>
      <c r="R139" s="160">
        <f t="shared" ref="R139:R202" si="35">SUM(J139,K139,L139,P139)</f>
        <v>0</v>
      </c>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row>
    <row r="140" spans="1:41" ht="15.75" customHeight="1">
      <c r="A140" s="118" t="s">
        <v>658</v>
      </c>
      <c r="B140" s="111">
        <f>('Pivot Table for Data Exchange'!$F$186)*100</f>
        <v>88.156879324967591</v>
      </c>
      <c r="C140" s="111">
        <f>('Pivot Table for Data Exchange'!$F$189)*100</f>
        <v>3.5911398175904727</v>
      </c>
      <c r="D140" s="173">
        <f t="shared" si="32"/>
        <v>8.2519808574419375</v>
      </c>
      <c r="E140" s="111">
        <f>('Pivot Table for Data Exchange'!$F$192)*100</f>
        <v>8.2519808574419375</v>
      </c>
      <c r="F140" s="111">
        <f>('Pivot Table for Data Exchange'!$F$195)*100</f>
        <v>0</v>
      </c>
      <c r="G140" s="119">
        <f>('Pivot Table for Data Exchange'!$F$198)*100</f>
        <v>0</v>
      </c>
      <c r="H140" s="111">
        <f>('Pivot Table for Data Exchange'!$F$201)*100</f>
        <v>0</v>
      </c>
      <c r="I140" s="118" t="s">
        <v>658</v>
      </c>
      <c r="J140" s="111">
        <f>('Pivot Table for Data Exchange'!$F$204)*100</f>
        <v>76.912115245103124</v>
      </c>
      <c r="K140" s="111">
        <f>('Pivot Table for Data Exchange'!$F$207)*100</f>
        <v>2.8163540263239715</v>
      </c>
      <c r="L140" s="173">
        <f t="shared" si="33"/>
        <v>20.271530728572909</v>
      </c>
      <c r="M140" s="111">
        <f>('Pivot Table for Data Exchange'!$F$210)*100</f>
        <v>20.271530728572909</v>
      </c>
      <c r="N140" s="111">
        <f>('Pivot Table for Data Exchange'!$F$213)*100</f>
        <v>0</v>
      </c>
      <c r="O140" s="119">
        <f>('Pivot Table for Data Exchange'!$F$216)*100</f>
        <v>0</v>
      </c>
      <c r="P140" s="111">
        <f>('Pivot Table for Data Exchange'!$F$219)*100</f>
        <v>0</v>
      </c>
      <c r="Q140" s="160">
        <f t="shared" si="34"/>
        <v>100</v>
      </c>
      <c r="R140" s="160">
        <f t="shared" si="35"/>
        <v>100.00000000000001</v>
      </c>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row>
    <row r="141" spans="1:41" ht="15.75" customHeight="1">
      <c r="A141" s="118" t="s">
        <v>659</v>
      </c>
      <c r="B141" s="111">
        <f>('Pivot Table for Data Exchange'!$F$222)*100</f>
        <v>0</v>
      </c>
      <c r="C141" s="111">
        <f>('Pivot Table for Data Exchange'!$F$225)*100</f>
        <v>0</v>
      </c>
      <c r="D141" s="173">
        <f t="shared" si="32"/>
        <v>0</v>
      </c>
      <c r="E141" s="111">
        <f>('Pivot Table for Data Exchange'!$F$228)*100</f>
        <v>0</v>
      </c>
      <c r="F141" s="111">
        <f>('Pivot Table for Data Exchange'!$F$231)*100</f>
        <v>0</v>
      </c>
      <c r="G141" s="119">
        <f>('Pivot Table for Data Exchange'!$F$234)*100</f>
        <v>0</v>
      </c>
      <c r="H141" s="111">
        <f>('Pivot Table for Data Exchange'!$F$237)*100</f>
        <v>0</v>
      </c>
      <c r="I141" s="118" t="s">
        <v>659</v>
      </c>
      <c r="J141" s="111">
        <f>('Pivot Table for Data Exchange'!$F$240)*100</f>
        <v>0</v>
      </c>
      <c r="K141" s="111">
        <f>('Pivot Table for Data Exchange'!$F$243)*100</f>
        <v>0</v>
      </c>
      <c r="L141" s="173">
        <f t="shared" si="33"/>
        <v>0</v>
      </c>
      <c r="M141" s="111">
        <f>('Pivot Table for Data Exchange'!$F$246)*100</f>
        <v>0</v>
      </c>
      <c r="N141" s="111">
        <f>('Pivot Table for Data Exchange'!$F$249)*100</f>
        <v>0</v>
      </c>
      <c r="O141" s="121">
        <f>('Pivot Table for Data Exchange'!$F$252)*100</f>
        <v>0</v>
      </c>
      <c r="P141" s="111">
        <f>('Pivot Table for Data Exchange'!$F$255)*100</f>
        <v>0</v>
      </c>
      <c r="Q141" s="160">
        <f t="shared" si="34"/>
        <v>0</v>
      </c>
      <c r="R141" s="160">
        <f t="shared" si="35"/>
        <v>0</v>
      </c>
      <c r="S141" s="116"/>
      <c r="T141" s="132"/>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row>
    <row r="142" spans="1:41" ht="15.75" customHeight="1">
      <c r="A142" s="118" t="s">
        <v>700</v>
      </c>
      <c r="B142" s="111">
        <f>('Pivot Table for Data Exchange'!$F$258)*100</f>
        <v>91.944334384481365</v>
      </c>
      <c r="C142" s="111">
        <f>('Pivot Table for Data Exchange'!$F$261)*100</f>
        <v>0.97249284911774114</v>
      </c>
      <c r="D142" s="173">
        <f t="shared" si="32"/>
        <v>7.083172766400895</v>
      </c>
      <c r="E142" s="111">
        <f>('Pivot Table for Data Exchange'!$F$264)*100</f>
        <v>6.8884570919926409</v>
      </c>
      <c r="F142" s="120">
        <f>('Pivot Table for Data Exchange'!$F$267)*100</f>
        <v>0.19471567440825432</v>
      </c>
      <c r="G142" s="121">
        <f>('Pivot Table for Data Exchange'!$F$270)*100</f>
        <v>0</v>
      </c>
      <c r="H142" s="111">
        <f>('Pivot Table for Data Exchange'!$F$273)*100</f>
        <v>0</v>
      </c>
      <c r="I142" s="118" t="s">
        <v>700</v>
      </c>
      <c r="J142" s="111">
        <f>('Pivot Table for Data Exchange'!$F$276)*100</f>
        <v>77.864916773367483</v>
      </c>
      <c r="K142" s="111">
        <f>('Pivot Table for Data Exchange'!$F$279)*100</f>
        <v>8.6747759282970556</v>
      </c>
      <c r="L142" s="173">
        <f t="shared" si="33"/>
        <v>13.460307298335469</v>
      </c>
      <c r="M142" s="111">
        <f>('Pivot Table for Data Exchange'!$F$282)*100</f>
        <v>12.223467065016361</v>
      </c>
      <c r="N142" s="111">
        <f>('Pivot Table for Data Exchange'!$F$285)*100</f>
        <v>1.2368402333191066</v>
      </c>
      <c r="O142" s="119">
        <f>('Pivot Table for Data Exchange'!$F$288)*100</f>
        <v>0</v>
      </c>
      <c r="P142" s="111">
        <f>('Pivot Table for Data Exchange'!$F$291)*100</f>
        <v>0</v>
      </c>
      <c r="Q142" s="160">
        <f t="shared" si="34"/>
        <v>100</v>
      </c>
      <c r="R142" s="160">
        <f t="shared" si="35"/>
        <v>100</v>
      </c>
      <c r="S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row>
    <row r="143" spans="1:41" ht="15.75" customHeight="1">
      <c r="A143" s="118"/>
      <c r="B143" s="111"/>
      <c r="C143" s="111"/>
      <c r="D143" s="173"/>
      <c r="E143" s="111"/>
      <c r="F143" s="111"/>
      <c r="G143" s="119"/>
      <c r="H143" s="111"/>
      <c r="I143" s="118"/>
      <c r="J143" s="111"/>
      <c r="K143" s="111"/>
      <c r="L143" s="173"/>
      <c r="M143" s="111"/>
      <c r="N143" s="111"/>
      <c r="O143" s="119"/>
      <c r="P143" s="111"/>
      <c r="Q143" s="160">
        <f t="shared" si="34"/>
        <v>0</v>
      </c>
      <c r="R143" s="160">
        <f t="shared" si="35"/>
        <v>0</v>
      </c>
      <c r="S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row>
    <row r="144" spans="1:41" ht="15.75" customHeight="1">
      <c r="A144" s="118" t="s">
        <v>661</v>
      </c>
      <c r="B144" s="111">
        <f>('Pivot Table for Data Exchange'!$F$294)*100</f>
        <v>86.456667094996078</v>
      </c>
      <c r="C144" s="111">
        <f>('Pivot Table for Data Exchange'!$F$297)*100</f>
        <v>1.9647027024631896</v>
      </c>
      <c r="D144" s="173">
        <f t="shared" ref="D144:D146" si="36">SUM(E144:G144)</f>
        <v>11.203768117226375</v>
      </c>
      <c r="E144" s="111">
        <f>('Pivot Table for Data Exchange'!$F$300)*100</f>
        <v>10.99905619829584</v>
      </c>
      <c r="F144" s="111">
        <f>('Pivot Table for Data Exchange'!$F$303)*100</f>
        <v>0</v>
      </c>
      <c r="G144" s="119">
        <f>('Pivot Table for Data Exchange'!$F$306)*100</f>
        <v>0.20471191893053531</v>
      </c>
      <c r="H144" s="111">
        <f>('Pivot Table for Data Exchange'!$F$309)*100</f>
        <v>0.37486208531435689</v>
      </c>
      <c r="I144" s="118" t="s">
        <v>661</v>
      </c>
      <c r="J144" s="111">
        <f>('Pivot Table for Data Exchange'!$F$312)*100</f>
        <v>58.756382321376307</v>
      </c>
      <c r="K144" s="111">
        <f>('Pivot Table for Data Exchange'!$F$315)*100</f>
        <v>5.2034212494715275</v>
      </c>
      <c r="L144" s="173">
        <f t="shared" ref="L144:L146" si="37">SUM(M144:O144)</f>
        <v>36.040196429152168</v>
      </c>
      <c r="M144" s="111">
        <f>('Pivot Table for Data Exchange'!$F$318)*100</f>
        <v>35.181631922989368</v>
      </c>
      <c r="N144" s="111">
        <f>('Pivot Table for Data Exchange'!$F$321)*100</f>
        <v>0</v>
      </c>
      <c r="O144" s="119">
        <f>('Pivot Table for Data Exchange'!$F$324)*100</f>
        <v>0.858564506162802</v>
      </c>
      <c r="P144" s="114">
        <f>('Pivot Table for Data Exchange'!$F$327)*100</f>
        <v>0</v>
      </c>
      <c r="Q144" s="160">
        <f t="shared" si="34"/>
        <v>100</v>
      </c>
      <c r="R144" s="160">
        <f t="shared" si="35"/>
        <v>100</v>
      </c>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row>
    <row r="145" spans="1:41" ht="15.75" customHeight="1">
      <c r="A145" s="118" t="s">
        <v>662</v>
      </c>
      <c r="B145" s="111">
        <f>('Pivot Table for Data Exchange'!$F$330)*100</f>
        <v>84.905295460113209</v>
      </c>
      <c r="C145" s="111">
        <f>('Pivot Table for Data Exchange'!$F$333)*100</f>
        <v>4.1369573346055155</v>
      </c>
      <c r="D145" s="173">
        <f t="shared" si="36"/>
        <v>10.957747205281276</v>
      </c>
      <c r="E145" s="111">
        <f>('Pivot Table for Data Exchange'!$F$336)*100</f>
        <v>10.957747205281276</v>
      </c>
      <c r="F145" s="120">
        <f>('Pivot Table for Data Exchange'!$F$339)*100</f>
        <v>0</v>
      </c>
      <c r="G145" s="119">
        <f>('Pivot Table for Data Exchange'!$F$342)*100</f>
        <v>0</v>
      </c>
      <c r="H145" s="111">
        <f>('Pivot Table for Data Exchange'!$F$345)*100</f>
        <v>0</v>
      </c>
      <c r="I145" s="118" t="s">
        <v>662</v>
      </c>
      <c r="J145" s="111">
        <f>('Pivot Table for Data Exchange'!$F$348)*100</f>
        <v>69.556095406360413</v>
      </c>
      <c r="K145" s="111">
        <f>('Pivot Table for Data Exchange'!$F$351)*100</f>
        <v>16.928003533568905</v>
      </c>
      <c r="L145" s="173">
        <f t="shared" si="37"/>
        <v>13.51590106007067</v>
      </c>
      <c r="M145" s="111">
        <f>('Pivot Table for Data Exchange'!$F$354)*100</f>
        <v>13.51590106007067</v>
      </c>
      <c r="N145" s="111">
        <f>('Pivot Table for Data Exchange'!$F$357)*100</f>
        <v>0</v>
      </c>
      <c r="O145" s="121">
        <f>('Pivot Table for Data Exchange'!$F$360)*100</f>
        <v>0</v>
      </c>
      <c r="P145" s="111">
        <f>('Pivot Table for Data Exchange'!$F$363)*100</f>
        <v>0</v>
      </c>
      <c r="Q145" s="160">
        <f t="shared" si="34"/>
        <v>100</v>
      </c>
      <c r="R145" s="160">
        <f t="shared" si="35"/>
        <v>99.999999999999986</v>
      </c>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row>
    <row r="146" spans="1:41" ht="15.75" customHeight="1">
      <c r="A146" s="118" t="s">
        <v>663</v>
      </c>
      <c r="B146" s="111">
        <f>('Pivot Table for Data Exchange'!$F$366)*100</f>
        <v>0</v>
      </c>
      <c r="C146" s="111">
        <f>('Pivot Table for Data Exchange'!$F$369)*100</f>
        <v>0</v>
      </c>
      <c r="D146" s="173">
        <f t="shared" si="36"/>
        <v>0</v>
      </c>
      <c r="E146" s="111">
        <f>('Pivot Table for Data Exchange'!$F$372)*100</f>
        <v>0</v>
      </c>
      <c r="F146" s="111">
        <f>('Pivot Table for Data Exchange'!$F$375)*100</f>
        <v>0</v>
      </c>
      <c r="G146" s="119">
        <f>('Pivot Table for Data Exchange'!$F$378)*100</f>
        <v>0</v>
      </c>
      <c r="H146" s="111">
        <f>('Pivot Table for Data Exchange'!$F$381)*100</f>
        <v>0</v>
      </c>
      <c r="I146" s="118" t="s">
        <v>663</v>
      </c>
      <c r="J146" s="111">
        <f>('Pivot Table for Data Exchange'!$F$384)*100</f>
        <v>0</v>
      </c>
      <c r="K146" s="111">
        <f>('Pivot Table for Data Exchange'!$F$387)*100</f>
        <v>0</v>
      </c>
      <c r="L146" s="173">
        <f t="shared" si="37"/>
        <v>0</v>
      </c>
      <c r="M146" s="111">
        <f>('Pivot Table for Data Exchange'!$F$390)*100</f>
        <v>0</v>
      </c>
      <c r="N146" s="111">
        <f>('Pivot Table for Data Exchange'!$F$393)*100</f>
        <v>0</v>
      </c>
      <c r="O146" s="119">
        <f>('Pivot Table for Data Exchange'!$F$396)*100</f>
        <v>0</v>
      </c>
      <c r="P146" s="111">
        <f>('Pivot Table for Data Exchange'!$F$399)*100</f>
        <v>0</v>
      </c>
      <c r="Q146" s="160">
        <f t="shared" si="34"/>
        <v>0</v>
      </c>
      <c r="R146" s="160">
        <f t="shared" si="35"/>
        <v>0</v>
      </c>
      <c r="S146" s="116"/>
      <c r="T146" s="132"/>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row>
    <row r="147" spans="1:41" ht="15.75" customHeight="1">
      <c r="A147" s="118" t="s">
        <v>664</v>
      </c>
      <c r="B147" s="111">
        <f>('Pivot Table for Data Exchange'!$F$402)*100</f>
        <v>99.644626319190181</v>
      </c>
      <c r="C147" s="111">
        <f>('Pivot Table for Data Exchange'!$F$405)*100</f>
        <v>0.22614688778806805</v>
      </c>
      <c r="D147" s="173">
        <f>SUM(E147:G147)</f>
        <v>0.12922679302175319</v>
      </c>
      <c r="E147" s="111">
        <f>('Pivot Table for Data Exchange'!$F$408)*100</f>
        <v>0.12922679302175319</v>
      </c>
      <c r="F147" s="111">
        <f>('Pivot Table for Data Exchange'!$F$411)*100</f>
        <v>0</v>
      </c>
      <c r="G147" s="119">
        <f>('Pivot Table for Data Exchange'!$F$414)*100</f>
        <v>0</v>
      </c>
      <c r="H147" s="111">
        <f>('Pivot Table for Data Exchange'!$F$417)*100</f>
        <v>0</v>
      </c>
      <c r="I147" s="118" t="s">
        <v>664</v>
      </c>
      <c r="J147" s="111">
        <f>('Pivot Table for Data Exchange'!$F$420)*100</f>
        <v>89.993585631815264</v>
      </c>
      <c r="K147" s="111">
        <f>('Pivot Table for Data Exchange'!$F$423)*100</f>
        <v>6.2924951892238612</v>
      </c>
      <c r="L147" s="173">
        <f>SUM(M147:O147)</f>
        <v>3.7139191789608721</v>
      </c>
      <c r="M147" s="111">
        <f>('Pivot Table for Data Exchange'!$F$426)*100</f>
        <v>3.7139191789608721</v>
      </c>
      <c r="N147" s="120">
        <f>('Pivot Table for Data Exchange'!$F$429)*100</f>
        <v>0</v>
      </c>
      <c r="O147" s="119">
        <f>('Pivot Table for Data Exchange'!$F$432)*100</f>
        <v>0</v>
      </c>
      <c r="P147" s="111">
        <f>('Pivot Table for Data Exchange'!$F$435)*100</f>
        <v>0</v>
      </c>
      <c r="Q147" s="160">
        <f t="shared" si="34"/>
        <v>100</v>
      </c>
      <c r="R147" s="160">
        <f t="shared" si="35"/>
        <v>100</v>
      </c>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row>
    <row r="148" spans="1:41" ht="15.75" customHeight="1">
      <c r="A148" s="118"/>
      <c r="B148" s="111"/>
      <c r="C148" s="111"/>
      <c r="D148" s="173"/>
      <c r="E148" s="111"/>
      <c r="F148" s="111"/>
      <c r="G148" s="119"/>
      <c r="H148" s="111"/>
      <c r="I148" s="118"/>
      <c r="J148" s="111"/>
      <c r="K148" s="111"/>
      <c r="L148" s="173"/>
      <c r="M148" s="111"/>
      <c r="N148" s="111"/>
      <c r="O148" s="119"/>
      <c r="P148" s="111"/>
      <c r="Q148" s="160">
        <f t="shared" si="34"/>
        <v>0</v>
      </c>
      <c r="R148" s="160">
        <f t="shared" si="35"/>
        <v>0</v>
      </c>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row>
    <row r="149" spans="1:41" ht="15.75" customHeight="1">
      <c r="A149" s="118" t="s">
        <v>665</v>
      </c>
      <c r="B149" s="111">
        <f>('Pivot Table for Data Exchange'!$F$438)*100</f>
        <v>0</v>
      </c>
      <c r="C149" s="111">
        <f>('Pivot Table for Data Exchange'!$F$441)*100</f>
        <v>0</v>
      </c>
      <c r="D149" s="173">
        <f>SUM(E149:G149)</f>
        <v>0</v>
      </c>
      <c r="E149" s="111">
        <f>('Pivot Table for Data Exchange'!$F$444)*100</f>
        <v>0</v>
      </c>
      <c r="F149" s="111">
        <f>('Pivot Table for Data Exchange'!$F$447)*100</f>
        <v>0</v>
      </c>
      <c r="G149" s="119">
        <f>('Pivot Table for Data Exchange'!$F$450)*100</f>
        <v>0</v>
      </c>
      <c r="H149" s="111">
        <f>('Pivot Table for Data Exchange'!$F$453)*100</f>
        <v>0</v>
      </c>
      <c r="I149" s="118" t="s">
        <v>665</v>
      </c>
      <c r="J149" s="111">
        <f>('Pivot Table for Data Exchange'!$F$456)*100</f>
        <v>0</v>
      </c>
      <c r="K149" s="111">
        <f>('Pivot Table for Data Exchange'!$F$459)*100</f>
        <v>0</v>
      </c>
      <c r="L149" s="173">
        <f>SUM(M149:O149)</f>
        <v>0</v>
      </c>
      <c r="M149" s="111">
        <f>('Pivot Table for Data Exchange'!$F$462)*100</f>
        <v>0</v>
      </c>
      <c r="N149" s="111">
        <f>('Pivot Table for Data Exchange'!$F$465)*100</f>
        <v>0</v>
      </c>
      <c r="O149" s="119">
        <f>('Pivot Table for Data Exchange'!$F$468)*100</f>
        <v>0</v>
      </c>
      <c r="P149" s="111">
        <f>('Pivot Table for Data Exchange'!$F$471)*100</f>
        <v>0</v>
      </c>
      <c r="Q149" s="160">
        <f t="shared" si="34"/>
        <v>0</v>
      </c>
      <c r="R149" s="160">
        <f t="shared" si="35"/>
        <v>0</v>
      </c>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row>
    <row r="150" spans="1:41" ht="15.75" customHeight="1">
      <c r="A150" s="118" t="s">
        <v>666</v>
      </c>
      <c r="B150" s="111">
        <f>('Pivot Table for Data Exchange'!$F$474)*100</f>
        <v>58.1460843373494</v>
      </c>
      <c r="C150" s="111">
        <f>('Pivot Table for Data Exchange'!$F$477)*100</f>
        <v>9.3591867469879517</v>
      </c>
      <c r="D150" s="173">
        <f>SUM(E150:G150)</f>
        <v>32.494728915662648</v>
      </c>
      <c r="E150" s="111">
        <f>('Pivot Table for Data Exchange'!$F$480)*100</f>
        <v>30.51957831325301</v>
      </c>
      <c r="F150" s="111">
        <f>('Pivot Table for Data Exchange'!$F$483)*100</f>
        <v>0.15737951807228914</v>
      </c>
      <c r="G150" s="119">
        <f>('Pivot Table for Data Exchange'!$F$486)*100</f>
        <v>1.8177710843373491</v>
      </c>
      <c r="H150" s="111">
        <f>('Pivot Table for Data Exchange'!$F$489)*100</f>
        <v>0</v>
      </c>
      <c r="I150" s="118" t="s">
        <v>666</v>
      </c>
      <c r="J150" s="111">
        <f>('Pivot Table for Data Exchange'!$F$492)*100</f>
        <v>31.152865811021137</v>
      </c>
      <c r="K150" s="111">
        <f>('Pivot Table for Data Exchange'!$F$495)*100</f>
        <v>14.569282475808087</v>
      </c>
      <c r="L150" s="173">
        <f>SUM(M150:O150)</f>
        <v>54.277851713170776</v>
      </c>
      <c r="M150" s="111">
        <f>('Pivot Table for Data Exchange'!$F$498)*100</f>
        <v>52.247761261362868</v>
      </c>
      <c r="N150" s="111">
        <f>('Pivot Table for Data Exchange'!$F$501)*100</f>
        <v>0</v>
      </c>
      <c r="O150" s="119">
        <f>('Pivot Table for Data Exchange'!$F$504)*100</f>
        <v>2.0300904518079084</v>
      </c>
      <c r="P150" s="111">
        <f>('Pivot Table for Data Exchange'!$F$507)*100</f>
        <v>0</v>
      </c>
      <c r="Q150" s="160">
        <f t="shared" si="34"/>
        <v>100</v>
      </c>
      <c r="R150" s="160">
        <f t="shared" si="35"/>
        <v>100</v>
      </c>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row>
    <row r="151" spans="1:41" ht="15.75" customHeight="1">
      <c r="A151" s="118" t="s">
        <v>667</v>
      </c>
      <c r="B151" s="111">
        <f>('Pivot Table for Data Exchange'!$F$510)*100</f>
        <v>0</v>
      </c>
      <c r="C151" s="111">
        <f>('Pivot Table for Data Exchange'!$F$513)*100</f>
        <v>0</v>
      </c>
      <c r="D151" s="173">
        <f t="shared" ref="D151" si="38">SUM(E151:G151)</f>
        <v>0</v>
      </c>
      <c r="E151" s="111">
        <f>('Pivot Table for Data Exchange'!$F$516)*100</f>
        <v>0</v>
      </c>
      <c r="F151" s="111">
        <f>('Pivot Table for Data Exchange'!$F$519)*100</f>
        <v>0</v>
      </c>
      <c r="G151" s="119">
        <f>('Pivot Table for Data Exchange'!$F$522)*100</f>
        <v>0</v>
      </c>
      <c r="H151" s="111">
        <f>('Pivot Table for Data Exchange'!$F$525)*100</f>
        <v>0</v>
      </c>
      <c r="I151" s="118" t="s">
        <v>667</v>
      </c>
      <c r="J151" s="111">
        <f>('Pivot Table for Data Exchange'!$F$528)*100</f>
        <v>0</v>
      </c>
      <c r="K151" s="111">
        <f>('Pivot Table for Data Exchange'!$F$531)*100</f>
        <v>0</v>
      </c>
      <c r="L151" s="173">
        <f t="shared" ref="L151" si="39">SUM(M151:O151)</f>
        <v>0</v>
      </c>
      <c r="M151" s="111">
        <f>('Pivot Table for Data Exchange'!$F$534)*100</f>
        <v>0</v>
      </c>
      <c r="N151" s="111">
        <f>('Pivot Table for Data Exchange'!$F$537)*100</f>
        <v>0</v>
      </c>
      <c r="O151" s="119">
        <f>('Pivot Table for Data Exchange'!$F$540)*100</f>
        <v>0</v>
      </c>
      <c r="P151" s="111">
        <f>('Pivot Table for Data Exchange'!$F$543)*100</f>
        <v>0</v>
      </c>
      <c r="Q151" s="160">
        <f t="shared" si="34"/>
        <v>0</v>
      </c>
      <c r="R151" s="160">
        <f t="shared" si="35"/>
        <v>0</v>
      </c>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row>
    <row r="152" spans="1:41" ht="15.75" customHeight="1">
      <c r="A152" s="91" t="s">
        <v>668</v>
      </c>
      <c r="B152" s="122">
        <f>('Pivot Table for Data Exchange'!$F$546)*100</f>
        <v>0</v>
      </c>
      <c r="C152" s="122">
        <f>('Pivot Table for Data Exchange'!$F$549)*100</f>
        <v>0</v>
      </c>
      <c r="D152" s="174">
        <f>SUM(E152:G152)</f>
        <v>0</v>
      </c>
      <c r="E152" s="122">
        <f>('Pivot Table for Data Exchange'!$F$552)*100</f>
        <v>0</v>
      </c>
      <c r="F152" s="122">
        <f>('Pivot Table for Data Exchange'!$F$555)*100</f>
        <v>0</v>
      </c>
      <c r="G152" s="124">
        <f>('Pivot Table for Data Exchange'!$F$558)*100</f>
        <v>0</v>
      </c>
      <c r="H152" s="125">
        <f>('Pivot Table for Data Exchange'!$F$561)*100</f>
        <v>0</v>
      </c>
      <c r="I152" s="91" t="s">
        <v>668</v>
      </c>
      <c r="J152" s="122">
        <f>('Pivot Table for Data Exchange'!$F$564)*100</f>
        <v>0</v>
      </c>
      <c r="K152" s="122">
        <f>('Pivot Table for Data Exchange'!$F$567)*100</f>
        <v>0</v>
      </c>
      <c r="L152" s="174">
        <f>SUM(M152:O152)</f>
        <v>0</v>
      </c>
      <c r="M152" s="122">
        <f>('Pivot Table for Data Exchange'!$F$570)*100</f>
        <v>0</v>
      </c>
      <c r="N152" s="122">
        <f>('Pivot Table for Data Exchange'!$F$573)*100</f>
        <v>0</v>
      </c>
      <c r="O152" s="124">
        <f>('Pivot Table for Data Exchange'!$F$576)*100</f>
        <v>0</v>
      </c>
      <c r="P152" s="122">
        <f>('Pivot Table for Data Exchange'!$F$579)*100</f>
        <v>0</v>
      </c>
      <c r="Q152" s="160">
        <f t="shared" si="34"/>
        <v>0</v>
      </c>
      <c r="R152" s="160">
        <f t="shared" si="35"/>
        <v>0</v>
      </c>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row>
    <row r="153" spans="1:41" s="60" customFormat="1" ht="18" customHeight="1">
      <c r="A153" s="58" t="s">
        <v>697</v>
      </c>
      <c r="B153" s="126"/>
      <c r="C153" s="126"/>
      <c r="D153" s="127"/>
      <c r="E153" s="126"/>
      <c r="F153" s="127"/>
      <c r="G153" s="127"/>
      <c r="H153" s="126"/>
      <c r="I153" s="58" t="s">
        <v>697</v>
      </c>
      <c r="J153" s="126"/>
      <c r="K153" s="126"/>
      <c r="L153" s="127"/>
      <c r="M153" s="126"/>
      <c r="N153" s="127"/>
      <c r="O153" s="127"/>
      <c r="P153" s="126"/>
      <c r="Q153" s="160"/>
      <c r="R153" s="160"/>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row>
    <row r="154" spans="1:41" s="60" customFormat="1" ht="24" customHeight="1">
      <c r="A154" s="649" t="s">
        <v>698</v>
      </c>
      <c r="B154" s="654"/>
      <c r="C154" s="654"/>
      <c r="D154" s="654"/>
      <c r="E154" s="654"/>
      <c r="F154" s="654"/>
      <c r="G154" s="654"/>
      <c r="H154" s="654"/>
      <c r="I154" s="649" t="s">
        <v>698</v>
      </c>
      <c r="J154" s="654"/>
      <c r="K154" s="654"/>
      <c r="L154" s="654"/>
      <c r="M154" s="654"/>
      <c r="N154" s="654"/>
      <c r="O154" s="654"/>
      <c r="P154" s="654"/>
      <c r="Q154" s="160"/>
      <c r="R154" s="160"/>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row>
    <row r="155" spans="1:41" s="60" customFormat="1" ht="13.5" customHeight="1">
      <c r="A155" s="58"/>
      <c r="B155" s="135"/>
      <c r="H155" s="64" t="s">
        <v>1034</v>
      </c>
      <c r="I155" s="58"/>
      <c r="P155" s="64" t="s">
        <v>1034</v>
      </c>
      <c r="Q155" s="160"/>
      <c r="R155" s="160"/>
    </row>
    <row r="156" spans="1:41" ht="18">
      <c r="A156" s="31" t="s">
        <v>1016</v>
      </c>
      <c r="B156" s="86"/>
      <c r="C156" s="86"/>
      <c r="D156" s="86"/>
      <c r="E156" s="86"/>
      <c r="F156" s="86"/>
      <c r="G156" s="86"/>
      <c r="H156" s="87"/>
      <c r="I156" s="31" t="s">
        <v>1031</v>
      </c>
      <c r="J156" s="38"/>
      <c r="K156" s="38"/>
      <c r="L156" s="86"/>
      <c r="M156" s="38"/>
      <c r="N156" s="38"/>
      <c r="O156" s="38"/>
      <c r="P156" s="38"/>
      <c r="Q156" s="160"/>
      <c r="R156" s="160"/>
    </row>
    <row r="157" spans="1:41">
      <c r="A157" s="37"/>
      <c r="B157" s="38"/>
      <c r="C157" s="38"/>
      <c r="D157" s="38"/>
      <c r="E157" s="38"/>
      <c r="F157" s="38"/>
      <c r="G157" s="38"/>
      <c r="H157" s="88"/>
      <c r="I157" s="37"/>
      <c r="J157" s="38"/>
      <c r="K157" s="38"/>
      <c r="L157" s="38"/>
      <c r="M157" s="38"/>
      <c r="N157" s="38"/>
      <c r="O157" s="38"/>
      <c r="P157" s="38"/>
      <c r="Q157" s="160"/>
      <c r="R157" s="160"/>
    </row>
    <row r="158" spans="1:41" ht="15.75">
      <c r="A158" s="89" t="s">
        <v>683</v>
      </c>
      <c r="B158" s="38"/>
      <c r="C158" s="38"/>
      <c r="D158" s="38"/>
      <c r="E158" s="38"/>
      <c r="F158" s="38"/>
      <c r="G158" s="38"/>
      <c r="H158" s="88"/>
      <c r="I158" s="89" t="s">
        <v>684</v>
      </c>
      <c r="J158" s="38"/>
      <c r="K158" s="38"/>
      <c r="L158" s="38"/>
      <c r="M158" s="38"/>
      <c r="N158" s="38"/>
      <c r="O158" s="38"/>
      <c r="P158" s="38"/>
      <c r="Q158" s="160"/>
      <c r="R158" s="160"/>
    </row>
    <row r="159" spans="1:41" ht="15.75">
      <c r="A159" s="89" t="s">
        <v>994</v>
      </c>
      <c r="B159" s="38"/>
      <c r="C159" s="38"/>
      <c r="D159" s="38"/>
      <c r="E159" s="38"/>
      <c r="F159" s="38"/>
      <c r="G159" s="38"/>
      <c r="H159" s="88"/>
      <c r="I159" s="89" t="s">
        <v>994</v>
      </c>
      <c r="J159" s="38"/>
      <c r="K159" s="38"/>
      <c r="L159" s="38"/>
      <c r="M159" s="38"/>
      <c r="N159" s="38"/>
      <c r="O159" s="38"/>
      <c r="P159" s="38"/>
      <c r="Q159" s="160"/>
      <c r="R159" s="160"/>
    </row>
    <row r="160" spans="1:41">
      <c r="A160" s="91"/>
      <c r="B160" s="92"/>
      <c r="C160" s="92"/>
      <c r="D160" s="92"/>
      <c r="E160" s="92"/>
      <c r="F160" s="92"/>
      <c r="G160" s="92"/>
      <c r="H160" s="92"/>
      <c r="I160" s="93"/>
      <c r="L160" s="94"/>
      <c r="P160" s="91"/>
      <c r="Q160" s="160"/>
      <c r="R160" s="160"/>
    </row>
    <row r="161" spans="1:41" s="100" customFormat="1">
      <c r="A161" s="95"/>
      <c r="B161" s="96" t="s">
        <v>685</v>
      </c>
      <c r="C161" s="96"/>
      <c r="D161" s="96"/>
      <c r="E161" s="96"/>
      <c r="F161" s="96"/>
      <c r="G161" s="96"/>
      <c r="H161" s="97"/>
      <c r="I161" s="95"/>
      <c r="J161" s="96" t="s">
        <v>685</v>
      </c>
      <c r="K161" s="96"/>
      <c r="L161" s="96"/>
      <c r="M161" s="96"/>
      <c r="N161" s="96"/>
      <c r="O161" s="96"/>
      <c r="P161" s="97"/>
      <c r="Q161" s="160"/>
      <c r="R161" s="160"/>
    </row>
    <row r="162" spans="1:41" s="100" customFormat="1">
      <c r="A162" s="95"/>
      <c r="B162" s="96" t="s">
        <v>686</v>
      </c>
      <c r="C162" s="96"/>
      <c r="D162" s="647" t="s">
        <v>687</v>
      </c>
      <c r="E162" s="648"/>
      <c r="F162" s="648"/>
      <c r="G162" s="648"/>
      <c r="H162" s="101" t="s">
        <v>59</v>
      </c>
      <c r="I162" s="95"/>
      <c r="J162" s="96" t="s">
        <v>686</v>
      </c>
      <c r="K162" s="96"/>
      <c r="L162" s="647" t="s">
        <v>687</v>
      </c>
      <c r="M162" s="648"/>
      <c r="N162" s="648"/>
      <c r="O162" s="648"/>
      <c r="P162" s="101" t="s">
        <v>59</v>
      </c>
      <c r="Q162" s="160"/>
      <c r="R162" s="160"/>
    </row>
    <row r="163" spans="1:41" s="100" customFormat="1" ht="40.5" customHeight="1">
      <c r="A163" s="95"/>
      <c r="B163" s="102" t="s">
        <v>688</v>
      </c>
      <c r="C163" s="103" t="s">
        <v>689</v>
      </c>
      <c r="D163" s="104" t="s">
        <v>690</v>
      </c>
      <c r="E163" s="105" t="s">
        <v>9</v>
      </c>
      <c r="F163" s="102" t="s">
        <v>691</v>
      </c>
      <c r="G163" s="106" t="s">
        <v>692</v>
      </c>
      <c r="H163" s="107" t="s">
        <v>693</v>
      </c>
      <c r="I163" s="95"/>
      <c r="J163" s="102" t="s">
        <v>688</v>
      </c>
      <c r="K163" s="103" t="s">
        <v>689</v>
      </c>
      <c r="L163" s="104" t="s">
        <v>690</v>
      </c>
      <c r="M163" s="105" t="s">
        <v>9</v>
      </c>
      <c r="N163" s="102" t="s">
        <v>691</v>
      </c>
      <c r="O163" s="106" t="s">
        <v>692</v>
      </c>
      <c r="P163" s="107" t="s">
        <v>693</v>
      </c>
      <c r="Q163" s="160"/>
      <c r="R163" s="160"/>
      <c r="T163" s="131"/>
    </row>
    <row r="164" spans="1:41" ht="15.75" customHeight="1">
      <c r="A164" s="115" t="s">
        <v>653</v>
      </c>
      <c r="B164" s="111">
        <f>('Pivot Table for Data Exchange'!$G$6)*100</f>
        <v>97.162109421669285</v>
      </c>
      <c r="C164" s="111">
        <f>('Pivot Table for Data Exchange'!$G$9)*100</f>
        <v>0.11310144881362952</v>
      </c>
      <c r="D164" s="173">
        <f>SUM(E164:G164)</f>
        <v>2.724789129517089</v>
      </c>
      <c r="E164" s="111">
        <f>('Pivot Table for Data Exchange'!$G$12)*100</f>
        <v>2.724789129517089</v>
      </c>
      <c r="F164" s="111">
        <f>('Pivot Table for Data Exchange'!$G$15)*100</f>
        <v>0</v>
      </c>
      <c r="G164" s="113">
        <f>('Pivot Table for Data Exchange'!$G$18)*100</f>
        <v>0</v>
      </c>
      <c r="H164" s="120">
        <f>('Pivot Table for Data Exchange'!$G$21)*100</f>
        <v>0</v>
      </c>
      <c r="I164" s="115" t="s">
        <v>653</v>
      </c>
      <c r="J164" s="111">
        <f>('Pivot Table for Data Exchange'!$G$24)*100</f>
        <v>53.286315789473683</v>
      </c>
      <c r="K164" s="111">
        <f>('Pivot Table for Data Exchange'!$G$27)*100</f>
        <v>0.2336842105263158</v>
      </c>
      <c r="L164" s="173">
        <f>SUM(M164:O164)</f>
        <v>46.48</v>
      </c>
      <c r="M164" s="111">
        <f>('Pivot Table for Data Exchange'!$G$30)*100</f>
        <v>46.48</v>
      </c>
      <c r="N164" s="111">
        <f>('Pivot Table for Data Exchange'!$G$33)*100</f>
        <v>0</v>
      </c>
      <c r="O164" s="113">
        <f>('Pivot Table for Data Exchange'!$G$36)*100</f>
        <v>0</v>
      </c>
      <c r="P164" s="111">
        <f>('Pivot Table for Data Exchange'!$G$39)*100</f>
        <v>0</v>
      </c>
      <c r="Q164" s="160">
        <f>SUM(B164,C164,D164,H164)</f>
        <v>100</v>
      </c>
      <c r="R164" s="160">
        <f t="shared" si="35"/>
        <v>100</v>
      </c>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row>
    <row r="165" spans="1:41" ht="15.75" customHeight="1">
      <c r="A165" s="118" t="s">
        <v>654</v>
      </c>
      <c r="B165" s="111">
        <f>('Pivot Table for Data Exchange'!$G$42)*100</f>
        <v>87.103443954804618</v>
      </c>
      <c r="C165" s="111">
        <f>('Pivot Table for Data Exchange'!$G$45)*100</f>
        <v>2.103130678139554</v>
      </c>
      <c r="D165" s="173">
        <f t="shared" ref="D165:D167" si="40">SUM(E165:G165)</f>
        <v>10.793425367055825</v>
      </c>
      <c r="E165" s="111">
        <f>('Pivot Table for Data Exchange'!$G$48)*100</f>
        <v>8.8824377101564291</v>
      </c>
      <c r="F165" s="111">
        <f>('Pivot Table for Data Exchange'!$G$51)*100</f>
        <v>1.9109876568993964</v>
      </c>
      <c r="G165" s="119">
        <f>('Pivot Table for Data Exchange'!$G$54)*100</f>
        <v>0</v>
      </c>
      <c r="H165" s="111">
        <f>('Pivot Table for Data Exchange'!$G$57)*100</f>
        <v>0</v>
      </c>
      <c r="I165" s="118" t="s">
        <v>654</v>
      </c>
      <c r="J165" s="111">
        <f>('Pivot Table for Data Exchange'!$G$60)*100</f>
        <v>44.769874476987447</v>
      </c>
      <c r="K165" s="111">
        <f>('Pivot Table for Data Exchange'!$G$63)*100</f>
        <v>2.452077454510071</v>
      </c>
      <c r="L165" s="173">
        <f t="shared" ref="L165:L167" si="41">SUM(M165:O165)</f>
        <v>52.778048068502478</v>
      </c>
      <c r="M165" s="111">
        <f>('Pivot Table for Data Exchange'!$G$66)*100</f>
        <v>52.778048068502478</v>
      </c>
      <c r="N165" s="111">
        <f>('Pivot Table for Data Exchange'!$G$69)*100</f>
        <v>0</v>
      </c>
      <c r="O165" s="119">
        <f>('Pivot Table for Data Exchange'!$G$72)*100</f>
        <v>0</v>
      </c>
      <c r="P165" s="120">
        <f>('Pivot Table for Data Exchange'!$G$75)*100</f>
        <v>0</v>
      </c>
      <c r="Q165" s="160">
        <f t="shared" si="34"/>
        <v>100</v>
      </c>
      <c r="R165" s="160">
        <f t="shared" si="35"/>
        <v>100</v>
      </c>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row>
    <row r="166" spans="1:41" ht="15.75" customHeight="1">
      <c r="A166" s="118" t="s">
        <v>655</v>
      </c>
      <c r="B166" s="111">
        <f>('Pivot Table for Data Exchange'!$G$78)*100</f>
        <v>0</v>
      </c>
      <c r="C166" s="111">
        <f>('Pivot Table for Data Exchange'!$G$81)*100</f>
        <v>0</v>
      </c>
      <c r="D166" s="173">
        <f t="shared" si="40"/>
        <v>0</v>
      </c>
      <c r="E166" s="111">
        <f>('Pivot Table for Data Exchange'!$G$84)*100</f>
        <v>0</v>
      </c>
      <c r="F166" s="111">
        <f>('Pivot Table for Data Exchange'!$G$87)*100</f>
        <v>0</v>
      </c>
      <c r="G166" s="119">
        <f>('Pivot Table for Data Exchange'!$G$90)*100</f>
        <v>0</v>
      </c>
      <c r="H166" s="111">
        <f>('Pivot Table for Data Exchange'!$G$93)*100</f>
        <v>0</v>
      </c>
      <c r="I166" s="118" t="s">
        <v>655</v>
      </c>
      <c r="J166" s="111">
        <f>('Pivot Table for Data Exchange'!$G$96)*100</f>
        <v>0</v>
      </c>
      <c r="K166" s="111">
        <f>('Pivot Table for Data Exchange'!$G$99)*100</f>
        <v>0</v>
      </c>
      <c r="L166" s="173">
        <f t="shared" si="41"/>
        <v>0</v>
      </c>
      <c r="M166" s="111">
        <f>('Pivot Table for Data Exchange'!$G$102)*100</f>
        <v>0</v>
      </c>
      <c r="N166" s="111">
        <f>('Pivot Table for Data Exchange'!$G$105)*100</f>
        <v>0</v>
      </c>
      <c r="O166" s="119">
        <f>('Pivot Table for Data Exchange'!$G$108)*100</f>
        <v>0</v>
      </c>
      <c r="P166" s="111">
        <f>('Pivot Table for Data Exchange'!$G$111)*100</f>
        <v>0</v>
      </c>
      <c r="Q166" s="160">
        <f t="shared" si="34"/>
        <v>0</v>
      </c>
      <c r="R166" s="160">
        <f t="shared" si="35"/>
        <v>0</v>
      </c>
      <c r="S166" s="116"/>
      <c r="T166" s="132"/>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row>
    <row r="167" spans="1:41" ht="15.75" customHeight="1">
      <c r="A167" s="118" t="s">
        <v>695</v>
      </c>
      <c r="B167" s="111">
        <f>('Pivot Table for Data Exchange'!$G$114)*100</f>
        <v>0</v>
      </c>
      <c r="C167" s="111">
        <f>('Pivot Table for Data Exchange'!$G$117)*100</f>
        <v>0</v>
      </c>
      <c r="D167" s="173">
        <f t="shared" si="40"/>
        <v>0</v>
      </c>
      <c r="E167" s="111">
        <f>('Pivot Table for Data Exchange'!$G$120)*100</f>
        <v>0</v>
      </c>
      <c r="F167" s="111">
        <f>('Pivot Table for Data Exchange'!$G$123)*100</f>
        <v>0</v>
      </c>
      <c r="G167" s="119">
        <f>('Pivot Table for Data Exchange'!$G$126)*100</f>
        <v>0</v>
      </c>
      <c r="H167" s="111">
        <f>('Pivot Table for Data Exchange'!$G$129)*100</f>
        <v>0</v>
      </c>
      <c r="I167" s="118" t="s">
        <v>695</v>
      </c>
      <c r="J167" s="111">
        <f>('Pivot Table for Data Exchange'!$G$132)*100</f>
        <v>0</v>
      </c>
      <c r="K167" s="111">
        <f>('Pivot Table for Data Exchange'!$G$135)*100</f>
        <v>0</v>
      </c>
      <c r="L167" s="173">
        <f t="shared" si="41"/>
        <v>0</v>
      </c>
      <c r="M167" s="111">
        <f>('Pivot Table for Data Exchange'!$G$138)*100</f>
        <v>0</v>
      </c>
      <c r="N167" s="111">
        <f>('Pivot Table for Data Exchange'!$G$141)*100</f>
        <v>0</v>
      </c>
      <c r="O167" s="119">
        <f>('Pivot Table for Data Exchange'!$G$144)*100</f>
        <v>0</v>
      </c>
      <c r="P167" s="111">
        <f>('Pivot Table for Data Exchange'!$G$147)*100</f>
        <v>0</v>
      </c>
      <c r="Q167" s="160">
        <f t="shared" si="34"/>
        <v>0</v>
      </c>
      <c r="R167" s="160">
        <f t="shared" si="35"/>
        <v>0</v>
      </c>
      <c r="S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row>
    <row r="168" spans="1:41" ht="10.5" customHeight="1">
      <c r="A168" s="118"/>
      <c r="B168" s="111"/>
      <c r="C168" s="111"/>
      <c r="D168" s="173"/>
      <c r="E168" s="111"/>
      <c r="F168" s="111"/>
      <c r="G168" s="119"/>
      <c r="H168" s="111"/>
      <c r="I168" s="118"/>
      <c r="J168" s="111"/>
      <c r="K168" s="111"/>
      <c r="L168" s="173"/>
      <c r="M168" s="111"/>
      <c r="N168" s="111"/>
      <c r="O168" s="119"/>
      <c r="P168" s="111"/>
      <c r="Q168" s="160">
        <f t="shared" si="34"/>
        <v>0</v>
      </c>
      <c r="R168" s="160">
        <f t="shared" si="35"/>
        <v>0</v>
      </c>
      <c r="S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row>
    <row r="169" spans="1:41" ht="15.75" customHeight="1">
      <c r="A169" s="118" t="s">
        <v>657</v>
      </c>
      <c r="B169" s="111">
        <f>('Pivot Table for Data Exchange'!$G$150)*100</f>
        <v>0</v>
      </c>
      <c r="C169" s="111">
        <f>('Pivot Table for Data Exchange'!$G$153)*100</f>
        <v>0</v>
      </c>
      <c r="D169" s="173">
        <f t="shared" ref="D169:D172" si="42">SUM(E169:G169)</f>
        <v>0</v>
      </c>
      <c r="E169" s="111">
        <f>('Pivot Table for Data Exchange'!$G$156)*100</f>
        <v>0</v>
      </c>
      <c r="F169" s="111">
        <f>('Pivot Table for Data Exchange'!$G$159)*100</f>
        <v>0</v>
      </c>
      <c r="G169" s="119">
        <f>('Pivot Table for Data Exchange'!$G$162)*100</f>
        <v>0</v>
      </c>
      <c r="H169" s="120">
        <f>('Pivot Table for Data Exchange'!$G$165)*100</f>
        <v>0</v>
      </c>
      <c r="I169" s="118" t="s">
        <v>657</v>
      </c>
      <c r="J169" s="111">
        <f>('Pivot Table for Data Exchange'!$G$168)*100</f>
        <v>0</v>
      </c>
      <c r="K169" s="111">
        <f>('Pivot Table for Data Exchange'!$G$171)*100</f>
        <v>0</v>
      </c>
      <c r="L169" s="173">
        <f t="shared" ref="L169:L172" si="43">SUM(M169:O169)</f>
        <v>0</v>
      </c>
      <c r="M169" s="111">
        <f>('Pivot Table for Data Exchange'!$G$174)*100</f>
        <v>0</v>
      </c>
      <c r="N169" s="111">
        <f>('Pivot Table for Data Exchange'!$G$177)*100</f>
        <v>0</v>
      </c>
      <c r="O169" s="121">
        <f>('Pivot Table for Data Exchange'!$G$180)*100</f>
        <v>0</v>
      </c>
      <c r="P169" s="114">
        <f>('Pivot Table for Data Exchange'!$G$183)*100</f>
        <v>0</v>
      </c>
      <c r="Q169" s="160">
        <f t="shared" si="34"/>
        <v>0</v>
      </c>
      <c r="R169" s="160">
        <f t="shared" si="35"/>
        <v>0</v>
      </c>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row>
    <row r="170" spans="1:41" ht="15.75" customHeight="1">
      <c r="A170" s="118" t="s">
        <v>658</v>
      </c>
      <c r="B170" s="111">
        <f>('Pivot Table for Data Exchange'!$G$186)*100</f>
        <v>0</v>
      </c>
      <c r="C170" s="111">
        <f>('Pivot Table for Data Exchange'!$G$189)*100</f>
        <v>0</v>
      </c>
      <c r="D170" s="173">
        <f t="shared" si="42"/>
        <v>0</v>
      </c>
      <c r="E170" s="111">
        <f>('Pivot Table for Data Exchange'!$G$192)*100</f>
        <v>0</v>
      </c>
      <c r="F170" s="111">
        <f>('Pivot Table for Data Exchange'!$G$195)*100</f>
        <v>0</v>
      </c>
      <c r="G170" s="119">
        <f>('Pivot Table for Data Exchange'!$G$198)*100</f>
        <v>0</v>
      </c>
      <c r="H170" s="111">
        <f>('Pivot Table for Data Exchange'!$G$201)*100</f>
        <v>0</v>
      </c>
      <c r="I170" s="118" t="s">
        <v>658</v>
      </c>
      <c r="J170" s="111">
        <f>('Pivot Table for Data Exchange'!$G$204)*100</f>
        <v>0</v>
      </c>
      <c r="K170" s="111">
        <f>('Pivot Table for Data Exchange'!$G$207)*100</f>
        <v>0</v>
      </c>
      <c r="L170" s="173">
        <f t="shared" si="43"/>
        <v>0</v>
      </c>
      <c r="M170" s="111">
        <f>('Pivot Table for Data Exchange'!$G$210)*100</f>
        <v>0</v>
      </c>
      <c r="N170" s="111">
        <f>('Pivot Table for Data Exchange'!$G$213)*100</f>
        <v>0</v>
      </c>
      <c r="O170" s="119">
        <f>('Pivot Table for Data Exchange'!$G$216)*100</f>
        <v>0</v>
      </c>
      <c r="P170" s="111">
        <f>('Pivot Table for Data Exchange'!$G$219)*100</f>
        <v>0</v>
      </c>
      <c r="Q170" s="160">
        <f t="shared" si="34"/>
        <v>0</v>
      </c>
      <c r="R170" s="160">
        <f t="shared" si="35"/>
        <v>0</v>
      </c>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row>
    <row r="171" spans="1:41" ht="15.75" customHeight="1">
      <c r="A171" s="118" t="s">
        <v>659</v>
      </c>
      <c r="B171" s="111">
        <f>('Pivot Table for Data Exchange'!$G$222)*100</f>
        <v>0</v>
      </c>
      <c r="C171" s="111">
        <f>('Pivot Table for Data Exchange'!$G$225)*100</f>
        <v>0</v>
      </c>
      <c r="D171" s="173">
        <f t="shared" si="42"/>
        <v>0</v>
      </c>
      <c r="E171" s="111">
        <f>('Pivot Table for Data Exchange'!$G$228)*100</f>
        <v>0</v>
      </c>
      <c r="F171" s="111">
        <f>('Pivot Table for Data Exchange'!$G$231)*100</f>
        <v>0</v>
      </c>
      <c r="G171" s="119">
        <f>('Pivot Table for Data Exchange'!$G$234)*100</f>
        <v>0</v>
      </c>
      <c r="H171" s="111">
        <f>('Pivot Table for Data Exchange'!$G$237)*100</f>
        <v>0</v>
      </c>
      <c r="I171" s="118" t="s">
        <v>659</v>
      </c>
      <c r="J171" s="111">
        <f>('Pivot Table for Data Exchange'!$G$240)*100</f>
        <v>0</v>
      </c>
      <c r="K171" s="111">
        <f>('Pivot Table for Data Exchange'!$G$243)*100</f>
        <v>0</v>
      </c>
      <c r="L171" s="173">
        <f t="shared" si="43"/>
        <v>0</v>
      </c>
      <c r="M171" s="111">
        <f>('Pivot Table for Data Exchange'!$G$246)*100</f>
        <v>0</v>
      </c>
      <c r="N171" s="111">
        <f>('Pivot Table for Data Exchange'!$G$249)*100</f>
        <v>0</v>
      </c>
      <c r="O171" s="121">
        <f>('Pivot Table for Data Exchange'!$G$252)*100</f>
        <v>0</v>
      </c>
      <c r="P171" s="111">
        <f>('Pivot Table for Data Exchange'!$G$255)*100</f>
        <v>0</v>
      </c>
      <c r="Q171" s="160">
        <f t="shared" si="34"/>
        <v>0</v>
      </c>
      <c r="R171" s="160">
        <f t="shared" si="35"/>
        <v>0</v>
      </c>
      <c r="S171" s="116"/>
      <c r="T171" s="132"/>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row>
    <row r="172" spans="1:41" ht="15.75" customHeight="1">
      <c r="A172" s="118" t="s">
        <v>700</v>
      </c>
      <c r="B172" s="111">
        <f>('Pivot Table for Data Exchange'!$G$258)*100</f>
        <v>0</v>
      </c>
      <c r="C172" s="111">
        <f>('Pivot Table for Data Exchange'!$G$261)*100</f>
        <v>0</v>
      </c>
      <c r="D172" s="173">
        <f t="shared" si="42"/>
        <v>0</v>
      </c>
      <c r="E172" s="111">
        <f>('Pivot Table for Data Exchange'!$G$264)*100</f>
        <v>0</v>
      </c>
      <c r="F172" s="120">
        <f>('Pivot Table for Data Exchange'!$G$267)*100</f>
        <v>0</v>
      </c>
      <c r="G172" s="121">
        <f>('Pivot Table for Data Exchange'!$G$270)*100</f>
        <v>0</v>
      </c>
      <c r="H172" s="111">
        <f>('Pivot Table for Data Exchange'!$G$273)*100</f>
        <v>0</v>
      </c>
      <c r="I172" s="118" t="s">
        <v>700</v>
      </c>
      <c r="J172" s="111">
        <f>('Pivot Table for Data Exchange'!$G$276)*100</f>
        <v>0</v>
      </c>
      <c r="K172" s="111">
        <f>('Pivot Table for Data Exchange'!$G$279)*100</f>
        <v>0</v>
      </c>
      <c r="L172" s="173">
        <f t="shared" si="43"/>
        <v>0</v>
      </c>
      <c r="M172" s="111">
        <f>('Pivot Table for Data Exchange'!$G$282)*100</f>
        <v>0</v>
      </c>
      <c r="N172" s="111">
        <f>('Pivot Table for Data Exchange'!$G$285)*100</f>
        <v>0</v>
      </c>
      <c r="O172" s="119">
        <f>('Pivot Table for Data Exchange'!$G$288)*100</f>
        <v>0</v>
      </c>
      <c r="P172" s="111">
        <f>('Pivot Table for Data Exchange'!$G$291)*100</f>
        <v>0</v>
      </c>
      <c r="Q172" s="160">
        <f t="shared" si="34"/>
        <v>0</v>
      </c>
      <c r="R172" s="160">
        <f t="shared" si="35"/>
        <v>0</v>
      </c>
      <c r="S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row>
    <row r="173" spans="1:41" ht="11.25" customHeight="1">
      <c r="A173" s="118"/>
      <c r="B173" s="111"/>
      <c r="C173" s="111"/>
      <c r="D173" s="173"/>
      <c r="E173" s="111"/>
      <c r="F173" s="111"/>
      <c r="G173" s="119"/>
      <c r="H173" s="111"/>
      <c r="I173" s="118"/>
      <c r="J173" s="111"/>
      <c r="K173" s="111"/>
      <c r="L173" s="173"/>
      <c r="M173" s="111"/>
      <c r="N173" s="111"/>
      <c r="O173" s="119"/>
      <c r="P173" s="111"/>
      <c r="Q173" s="160">
        <f t="shared" si="34"/>
        <v>0</v>
      </c>
      <c r="R173" s="160">
        <f t="shared" si="35"/>
        <v>0</v>
      </c>
      <c r="S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row>
    <row r="174" spans="1:41" ht="15.75" customHeight="1">
      <c r="A174" s="118" t="s">
        <v>661</v>
      </c>
      <c r="B174" s="111">
        <f>('Pivot Table for Data Exchange'!$G$294)*100</f>
        <v>78.786935160196521</v>
      </c>
      <c r="C174" s="111">
        <f>('Pivot Table for Data Exchange'!$G$297)*100</f>
        <v>1.1210296865268838</v>
      </c>
      <c r="D174" s="173">
        <f t="shared" ref="D174:D176" si="44">SUM(E174:G174)</f>
        <v>20.092035153276591</v>
      </c>
      <c r="E174" s="111">
        <f>('Pivot Table for Data Exchange'!$G$300)*100</f>
        <v>20.092035153276591</v>
      </c>
      <c r="F174" s="111">
        <f>('Pivot Table for Data Exchange'!$G$303)*100</f>
        <v>0</v>
      </c>
      <c r="G174" s="119">
        <f>('Pivot Table for Data Exchange'!$G$306)*100</f>
        <v>0</v>
      </c>
      <c r="H174" s="111">
        <f>('Pivot Table for Data Exchange'!$G$309)*100</f>
        <v>0</v>
      </c>
      <c r="I174" s="118" t="s">
        <v>661</v>
      </c>
      <c r="J174" s="111">
        <f>('Pivot Table for Data Exchange'!$G$312)*100</f>
        <v>72.331747110808976</v>
      </c>
      <c r="K174" s="111">
        <f>('Pivot Table for Data Exchange'!$G$315)*100</f>
        <v>0</v>
      </c>
      <c r="L174" s="173">
        <f t="shared" ref="L174:L176" si="45">SUM(M174:O174)</f>
        <v>27.668252889191024</v>
      </c>
      <c r="M174" s="111">
        <f>('Pivot Table for Data Exchange'!$G$318)*100</f>
        <v>27.668252889191024</v>
      </c>
      <c r="N174" s="111">
        <f>('Pivot Table for Data Exchange'!$G$321)*100</f>
        <v>0</v>
      </c>
      <c r="O174" s="119">
        <f>('Pivot Table for Data Exchange'!$G$324)*100</f>
        <v>0</v>
      </c>
      <c r="P174" s="114">
        <f>('Pivot Table for Data Exchange'!$G$327)*100</f>
        <v>0</v>
      </c>
      <c r="Q174" s="160">
        <f t="shared" si="34"/>
        <v>100</v>
      </c>
      <c r="R174" s="160">
        <f t="shared" si="35"/>
        <v>100</v>
      </c>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row>
    <row r="175" spans="1:41" ht="15.75" customHeight="1">
      <c r="A175" s="118" t="s">
        <v>662</v>
      </c>
      <c r="B175" s="111">
        <f>('Pivot Table for Data Exchange'!$G$330)*100</f>
        <v>82.289587839533468</v>
      </c>
      <c r="C175" s="111">
        <f>('Pivot Table for Data Exchange'!$G$333)*100</f>
        <v>5.3907099580549946</v>
      </c>
      <c r="D175" s="173">
        <f t="shared" si="44"/>
        <v>12.319702202411538</v>
      </c>
      <c r="E175" s="111">
        <f>('Pivot Table for Data Exchange'!$G$336)*100</f>
        <v>12.234557426416988</v>
      </c>
      <c r="F175" s="120">
        <f>('Pivot Table for Data Exchange'!$G$339)*100</f>
        <v>8.5144775994550725E-2</v>
      </c>
      <c r="G175" s="119">
        <f>('Pivot Table for Data Exchange'!$G$342)*100</f>
        <v>0</v>
      </c>
      <c r="H175" s="111">
        <f>('Pivot Table for Data Exchange'!$G$345)*100</f>
        <v>0</v>
      </c>
      <c r="I175" s="118" t="s">
        <v>662</v>
      </c>
      <c r="J175" s="111">
        <f>('Pivot Table for Data Exchange'!$G$348)*100</f>
        <v>64.433258939170898</v>
      </c>
      <c r="K175" s="111">
        <f>('Pivot Table for Data Exchange'!$G$351)*100</f>
        <v>8.7990882757965707</v>
      </c>
      <c r="L175" s="173">
        <f t="shared" si="45"/>
        <v>26.767652785032528</v>
      </c>
      <c r="M175" s="111">
        <f>('Pivot Table for Data Exchange'!$G$354)*100</f>
        <v>25.400066479889833</v>
      </c>
      <c r="N175" s="111">
        <f>('Pivot Table for Data Exchange'!$G$357)*100</f>
        <v>1.3675863051426944</v>
      </c>
      <c r="O175" s="121">
        <f>('Pivot Table for Data Exchange'!$G$360)*100</f>
        <v>0</v>
      </c>
      <c r="P175" s="111">
        <f>('Pivot Table for Data Exchange'!$G$363)*100</f>
        <v>0</v>
      </c>
      <c r="Q175" s="160">
        <f t="shared" si="34"/>
        <v>100</v>
      </c>
      <c r="R175" s="160">
        <f t="shared" si="35"/>
        <v>99.999999999999986</v>
      </c>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row>
    <row r="176" spans="1:41" ht="15.75" customHeight="1">
      <c r="A176" s="118" t="s">
        <v>663</v>
      </c>
      <c r="B176" s="111">
        <f>('Pivot Table for Data Exchange'!$G$366)*100</f>
        <v>83.960640446127641</v>
      </c>
      <c r="C176" s="111">
        <f>('Pivot Table for Data Exchange'!$G$369)*100</f>
        <v>0.24146083807032548</v>
      </c>
      <c r="D176" s="173">
        <f t="shared" si="44"/>
        <v>15.797898715802029</v>
      </c>
      <c r="E176" s="111">
        <f>('Pivot Table for Data Exchange'!$G$372)*100</f>
        <v>9.4981782642127719</v>
      </c>
      <c r="F176" s="111">
        <f>('Pivot Table for Data Exchange'!$G$375)*100</f>
        <v>5.1281682752078641</v>
      </c>
      <c r="G176" s="119">
        <f>('Pivot Table for Data Exchange'!$G$378)*100</f>
        <v>1.1715521763813932</v>
      </c>
      <c r="H176" s="111">
        <f>('Pivot Table for Data Exchange'!$G$381)*100</f>
        <v>0</v>
      </c>
      <c r="I176" s="118" t="s">
        <v>663</v>
      </c>
      <c r="J176" s="111">
        <f>('Pivot Table for Data Exchange'!$G$384)*100</f>
        <v>62.960561221482045</v>
      </c>
      <c r="K176" s="111">
        <f>('Pivot Table for Data Exchange'!$G$387)*100</f>
        <v>1.0100414627915659</v>
      </c>
      <c r="L176" s="173">
        <f t="shared" si="45"/>
        <v>36.029397315726385</v>
      </c>
      <c r="M176" s="111">
        <f>('Pivot Table for Data Exchange'!$G$390)*100</f>
        <v>19.92375562498772</v>
      </c>
      <c r="N176" s="111">
        <f>('Pivot Table for Data Exchange'!$G$393)*100</f>
        <v>14.437304722042091</v>
      </c>
      <c r="O176" s="119">
        <f>('Pivot Table for Data Exchange'!$G$396)*100</f>
        <v>1.6683369686965748</v>
      </c>
      <c r="P176" s="111">
        <f>('Pivot Table for Data Exchange'!$G$399)*100</f>
        <v>0</v>
      </c>
      <c r="Q176" s="160">
        <f t="shared" si="34"/>
        <v>100</v>
      </c>
      <c r="R176" s="160">
        <f t="shared" si="35"/>
        <v>100</v>
      </c>
      <c r="S176" s="116"/>
      <c r="T176" s="132"/>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row>
    <row r="177" spans="1:41" ht="15.75" customHeight="1">
      <c r="A177" s="118" t="s">
        <v>664</v>
      </c>
      <c r="B177" s="111">
        <f>('Pivot Table for Data Exchange'!$G$402)*100</f>
        <v>97.473627720511828</v>
      </c>
      <c r="C177" s="111">
        <f>('Pivot Table for Data Exchange'!$G$405)*100</f>
        <v>0.37338463392615534</v>
      </c>
      <c r="D177" s="173">
        <f>SUM(E177:G177)</f>
        <v>2.1529876455620212</v>
      </c>
      <c r="E177" s="111">
        <f>('Pivot Table for Data Exchange'!$G$408)*100</f>
        <v>2.1529876455620212</v>
      </c>
      <c r="F177" s="111">
        <f>('Pivot Table for Data Exchange'!$G$411)*100</f>
        <v>0</v>
      </c>
      <c r="G177" s="119">
        <f>('Pivot Table for Data Exchange'!$G$414)*100</f>
        <v>0</v>
      </c>
      <c r="H177" s="111">
        <f>('Pivot Table for Data Exchange'!$G$417)*100</f>
        <v>0</v>
      </c>
      <c r="I177" s="118" t="s">
        <v>664</v>
      </c>
      <c r="J177" s="111">
        <f>('Pivot Table for Data Exchange'!$G$420)*100</f>
        <v>64.858900912370046</v>
      </c>
      <c r="K177" s="111">
        <f>('Pivot Table for Data Exchange'!$G$423)*100</f>
        <v>14.148100997241672</v>
      </c>
      <c r="L177" s="173">
        <f>SUM(M177:O177)</f>
        <v>20.992998090388287</v>
      </c>
      <c r="M177" s="111">
        <f>('Pivot Table for Data Exchange'!$G$426)*100</f>
        <v>20.992998090388287</v>
      </c>
      <c r="N177" s="120">
        <f>('Pivot Table for Data Exchange'!$G$429)*100</f>
        <v>0</v>
      </c>
      <c r="O177" s="119">
        <f>('Pivot Table for Data Exchange'!$G$432)*100</f>
        <v>0</v>
      </c>
      <c r="P177" s="111">
        <f>('Pivot Table for Data Exchange'!$G$435)*100</f>
        <v>0</v>
      </c>
      <c r="Q177" s="160">
        <f t="shared" si="34"/>
        <v>100</v>
      </c>
      <c r="R177" s="160">
        <f t="shared" si="35"/>
        <v>100</v>
      </c>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row>
    <row r="178" spans="1:41" ht="11.25" customHeight="1">
      <c r="A178" s="118"/>
      <c r="B178" s="111"/>
      <c r="C178" s="111"/>
      <c r="D178" s="173"/>
      <c r="E178" s="111"/>
      <c r="F178" s="111"/>
      <c r="G178" s="119"/>
      <c r="H178" s="111"/>
      <c r="I178" s="118"/>
      <c r="J178" s="111"/>
      <c r="K178" s="111"/>
      <c r="L178" s="173"/>
      <c r="M178" s="111"/>
      <c r="N178" s="111"/>
      <c r="O178" s="119"/>
      <c r="P178" s="111"/>
      <c r="Q178" s="160">
        <f t="shared" si="34"/>
        <v>0</v>
      </c>
      <c r="R178" s="160">
        <f t="shared" si="35"/>
        <v>0</v>
      </c>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row>
    <row r="179" spans="1:41" ht="15.75" customHeight="1">
      <c r="A179" s="118" t="s">
        <v>665</v>
      </c>
      <c r="B179" s="111">
        <f>('Pivot Table for Data Exchange'!$G$438)*100</f>
        <v>93.918357445534639</v>
      </c>
      <c r="C179" s="111">
        <f>('Pivot Table for Data Exchange'!$G$441)*100</f>
        <v>1.0895652577846366</v>
      </c>
      <c r="D179" s="173">
        <f>SUM(E179:G179)</f>
        <v>4.8945273991339215</v>
      </c>
      <c r="E179" s="111">
        <f>('Pivot Table for Data Exchange'!$G$444)*100</f>
        <v>3.8570919807790571</v>
      </c>
      <c r="F179" s="111">
        <f>('Pivot Table for Data Exchange'!$G$447)*100</f>
        <v>1.0265965408496649</v>
      </c>
      <c r="G179" s="119">
        <f>('Pivot Table for Data Exchange'!$G$450)*100</f>
        <v>1.083887750520008E-2</v>
      </c>
      <c r="H179" s="111">
        <f>('Pivot Table for Data Exchange'!$G$453)*100</f>
        <v>9.7549897546800726E-2</v>
      </c>
      <c r="I179" s="118" t="s">
        <v>665</v>
      </c>
      <c r="J179" s="111">
        <f>('Pivot Table for Data Exchange'!$G$456)*100</f>
        <v>32.364241803278688</v>
      </c>
      <c r="K179" s="111">
        <f>('Pivot Table for Data Exchange'!$G$459)*100</f>
        <v>0.78125</v>
      </c>
      <c r="L179" s="173">
        <f>SUM(M179:O179)</f>
        <v>66.649590163934434</v>
      </c>
      <c r="M179" s="111">
        <f>('Pivot Table for Data Exchange'!$G$462)*100</f>
        <v>65.227971311475414</v>
      </c>
      <c r="N179" s="111">
        <f>('Pivot Table for Data Exchange'!$G$465)*100</f>
        <v>1.4216188524590163</v>
      </c>
      <c r="O179" s="119">
        <f>('Pivot Table for Data Exchange'!$G$468)*100</f>
        <v>0</v>
      </c>
      <c r="P179" s="111">
        <f>('Pivot Table for Data Exchange'!$G$471)*100</f>
        <v>0.20491803278688525</v>
      </c>
      <c r="Q179" s="160">
        <f t="shared" si="34"/>
        <v>100</v>
      </c>
      <c r="R179" s="160">
        <f t="shared" si="35"/>
        <v>100</v>
      </c>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row>
    <row r="180" spans="1:41" ht="15.75" customHeight="1">
      <c r="A180" s="118" t="s">
        <v>666</v>
      </c>
      <c r="B180" s="111">
        <f>('Pivot Table for Data Exchange'!$G$474)*100</f>
        <v>82.679947772557455</v>
      </c>
      <c r="C180" s="111">
        <f>('Pivot Table for Data Exchange'!$G$477)*100</f>
        <v>4.6964912851784737</v>
      </c>
      <c r="D180" s="173">
        <f>SUM(E180:G180)</f>
        <v>12.623560942264081</v>
      </c>
      <c r="E180" s="111">
        <f>('Pivot Table for Data Exchange'!$G$480)*100</f>
        <v>10.457785831316935</v>
      </c>
      <c r="F180" s="111">
        <f>('Pivot Table for Data Exchange'!$G$483)*100</f>
        <v>2.0605245168780719</v>
      </c>
      <c r="G180" s="119">
        <f>('Pivot Table for Data Exchange'!$G$486)*100</f>
        <v>0.10525059406907478</v>
      </c>
      <c r="H180" s="111">
        <f>('Pivot Table for Data Exchange'!$G$489)*100</f>
        <v>0</v>
      </c>
      <c r="I180" s="118" t="s">
        <v>666</v>
      </c>
      <c r="J180" s="111">
        <f>('Pivot Table for Data Exchange'!$G$492)*100</f>
        <v>81.366120218579226</v>
      </c>
      <c r="K180" s="111">
        <f>('Pivot Table for Data Exchange'!$G$495)*100</f>
        <v>0.16393442622950818</v>
      </c>
      <c r="L180" s="173">
        <f>SUM(M180:O180)</f>
        <v>18.469945355191257</v>
      </c>
      <c r="M180" s="111">
        <f>('Pivot Table for Data Exchange'!$G$498)*100</f>
        <v>13.169398907103824</v>
      </c>
      <c r="N180" s="111">
        <f>('Pivot Table for Data Exchange'!$G$501)*100</f>
        <v>5.1912568306010929</v>
      </c>
      <c r="O180" s="119">
        <f>('Pivot Table for Data Exchange'!$G$504)*100</f>
        <v>0.10928961748633879</v>
      </c>
      <c r="P180" s="111">
        <f>('Pivot Table for Data Exchange'!$G$507)*100</f>
        <v>0</v>
      </c>
      <c r="Q180" s="160">
        <f t="shared" si="34"/>
        <v>100</v>
      </c>
      <c r="R180" s="160">
        <f t="shared" si="35"/>
        <v>99.999999999999986</v>
      </c>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row>
    <row r="181" spans="1:41" ht="15.75" customHeight="1">
      <c r="A181" s="118" t="s">
        <v>667</v>
      </c>
      <c r="B181" s="111">
        <f>('Pivot Table for Data Exchange'!$G$510)*100</f>
        <v>0</v>
      </c>
      <c r="C181" s="111">
        <f>('Pivot Table for Data Exchange'!$G$513)*100</f>
        <v>0</v>
      </c>
      <c r="D181" s="173">
        <f t="shared" ref="D181" si="46">SUM(E181:G181)</f>
        <v>0</v>
      </c>
      <c r="E181" s="111">
        <f>('Pivot Table for Data Exchange'!$G$516)*100</f>
        <v>0</v>
      </c>
      <c r="F181" s="111">
        <f>('Pivot Table for Data Exchange'!$G$519)*100</f>
        <v>0</v>
      </c>
      <c r="G181" s="119">
        <f>('Pivot Table for Data Exchange'!$G$522)*100</f>
        <v>0</v>
      </c>
      <c r="H181" s="111">
        <f>('Pivot Table for Data Exchange'!$G$525)*100</f>
        <v>0</v>
      </c>
      <c r="I181" s="118" t="s">
        <v>667</v>
      </c>
      <c r="J181" s="111">
        <f>('Pivot Table for Data Exchange'!$G$528)*100</f>
        <v>0</v>
      </c>
      <c r="K181" s="111">
        <f>('Pivot Table for Data Exchange'!$G$531)*100</f>
        <v>0</v>
      </c>
      <c r="L181" s="173">
        <f t="shared" ref="L181" si="47">SUM(M181:O181)</f>
        <v>0</v>
      </c>
      <c r="M181" s="111">
        <f>('Pivot Table for Data Exchange'!$G$534)*100</f>
        <v>0</v>
      </c>
      <c r="N181" s="111">
        <f>('Pivot Table for Data Exchange'!$G$537)*100</f>
        <v>0</v>
      </c>
      <c r="O181" s="119">
        <f>('Pivot Table for Data Exchange'!$G$540)*100</f>
        <v>0</v>
      </c>
      <c r="P181" s="111">
        <f>('Pivot Table for Data Exchange'!$G$543)*100</f>
        <v>0</v>
      </c>
      <c r="Q181" s="160">
        <f t="shared" si="34"/>
        <v>0</v>
      </c>
      <c r="R181" s="160">
        <f t="shared" si="35"/>
        <v>0</v>
      </c>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row>
    <row r="182" spans="1:41" ht="15.75" customHeight="1">
      <c r="A182" s="91" t="s">
        <v>668</v>
      </c>
      <c r="B182" s="122">
        <f>('Pivot Table for Data Exchange'!$G$546)*100</f>
        <v>87.170003940251462</v>
      </c>
      <c r="C182" s="122">
        <f>('Pivot Table for Data Exchange'!$G$549)*100</f>
        <v>6.3164917433821692</v>
      </c>
      <c r="D182" s="174">
        <f>SUM(E182:G182)</f>
        <v>6.5135043163663715</v>
      </c>
      <c r="E182" s="122">
        <f>('Pivot Table for Data Exchange'!$G$552)*100</f>
        <v>6.5135043163663715</v>
      </c>
      <c r="F182" s="122">
        <f>('Pivot Table for Data Exchange'!$G$555)*100</f>
        <v>0</v>
      </c>
      <c r="G182" s="124">
        <f>('Pivot Table for Data Exchange'!$G$558)*100</f>
        <v>0</v>
      </c>
      <c r="H182" s="125">
        <f>('Pivot Table for Data Exchange'!$G$561)*100</f>
        <v>0</v>
      </c>
      <c r="I182" s="91" t="s">
        <v>668</v>
      </c>
      <c r="J182" s="122">
        <f>('Pivot Table for Data Exchange'!$G$564)*100</f>
        <v>55.268698060941823</v>
      </c>
      <c r="K182" s="122">
        <f>('Pivot Table for Data Exchange'!$G$567)*100</f>
        <v>0</v>
      </c>
      <c r="L182" s="174">
        <f>SUM(M182:O182)</f>
        <v>44.73130193905817</v>
      </c>
      <c r="M182" s="122">
        <f>('Pivot Table for Data Exchange'!$G$570)*100</f>
        <v>44.73130193905817</v>
      </c>
      <c r="N182" s="122">
        <f>('Pivot Table for Data Exchange'!$G$573)*100</f>
        <v>0</v>
      </c>
      <c r="O182" s="124">
        <f>('Pivot Table for Data Exchange'!$G$576)*100</f>
        <v>0</v>
      </c>
      <c r="P182" s="122">
        <f>('Pivot Table for Data Exchange'!$G$579)*100</f>
        <v>0</v>
      </c>
      <c r="Q182" s="160">
        <f t="shared" si="34"/>
        <v>100</v>
      </c>
      <c r="R182" s="160">
        <f t="shared" si="35"/>
        <v>100</v>
      </c>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row>
    <row r="183" spans="1:41" s="60" customFormat="1" ht="18" customHeight="1">
      <c r="A183" s="58" t="s">
        <v>697</v>
      </c>
      <c r="B183" s="126"/>
      <c r="C183" s="126"/>
      <c r="D183" s="127"/>
      <c r="E183" s="126"/>
      <c r="F183" s="127"/>
      <c r="G183" s="127"/>
      <c r="H183" s="126"/>
      <c r="I183" s="58" t="s">
        <v>697</v>
      </c>
      <c r="J183" s="126"/>
      <c r="K183" s="126"/>
      <c r="L183" s="127"/>
      <c r="M183" s="126"/>
      <c r="N183" s="127"/>
      <c r="O183" s="127"/>
      <c r="P183" s="126"/>
      <c r="Q183" s="160"/>
      <c r="R183" s="160"/>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row>
    <row r="184" spans="1:41" s="60" customFormat="1" ht="25.5" customHeight="1">
      <c r="A184" s="649" t="s">
        <v>698</v>
      </c>
      <c r="B184" s="654"/>
      <c r="C184" s="654"/>
      <c r="D184" s="654"/>
      <c r="E184" s="654"/>
      <c r="F184" s="654"/>
      <c r="G184" s="654"/>
      <c r="H184" s="654"/>
      <c r="I184" s="649" t="s">
        <v>698</v>
      </c>
      <c r="J184" s="654"/>
      <c r="K184" s="654"/>
      <c r="L184" s="654"/>
      <c r="M184" s="654"/>
      <c r="N184" s="654"/>
      <c r="O184" s="654"/>
      <c r="P184" s="654"/>
      <c r="Q184" s="160"/>
      <c r="R184" s="160"/>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row>
    <row r="185" spans="1:41" s="60" customFormat="1" ht="16.5" customHeight="1">
      <c r="A185" s="137"/>
      <c r="B185" s="176"/>
      <c r="C185" s="176"/>
      <c r="D185" s="138"/>
      <c r="E185" s="176"/>
      <c r="F185" s="176"/>
      <c r="G185" s="177"/>
      <c r="H185" s="177"/>
      <c r="I185" s="137"/>
      <c r="J185" s="176"/>
      <c r="K185" s="176"/>
      <c r="L185" s="138"/>
      <c r="M185" s="176"/>
      <c r="N185" s="176"/>
      <c r="O185" s="176"/>
      <c r="P185" s="177"/>
      <c r="Q185" s="160"/>
      <c r="R185" s="160"/>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row>
    <row r="186" spans="1:41" s="60" customFormat="1" ht="13.5" customHeight="1">
      <c r="A186" s="58"/>
      <c r="B186" s="135"/>
      <c r="H186" s="64" t="s">
        <v>1034</v>
      </c>
      <c r="I186" s="58"/>
      <c r="P186" s="64" t="s">
        <v>1034</v>
      </c>
      <c r="Q186" s="160"/>
      <c r="R186" s="160"/>
    </row>
    <row r="187" spans="1:41" ht="18">
      <c r="A187" s="31" t="s">
        <v>1017</v>
      </c>
      <c r="B187" s="86"/>
      <c r="C187" s="86"/>
      <c r="D187" s="86"/>
      <c r="E187" s="86"/>
      <c r="F187" s="86"/>
      <c r="G187" s="86"/>
      <c r="H187" s="87"/>
      <c r="I187" s="31" t="s">
        <v>1032</v>
      </c>
      <c r="J187" s="38"/>
      <c r="K187" s="38"/>
      <c r="L187" s="86"/>
      <c r="M187" s="38"/>
      <c r="N187" s="38"/>
      <c r="O187" s="38"/>
      <c r="P187" s="38"/>
      <c r="Q187" s="160"/>
      <c r="R187" s="160"/>
    </row>
    <row r="188" spans="1:41">
      <c r="A188" s="37"/>
      <c r="B188" s="38"/>
      <c r="C188" s="38"/>
      <c r="D188" s="38"/>
      <c r="E188" s="38"/>
      <c r="F188" s="38"/>
      <c r="G188" s="38"/>
      <c r="H188" s="88"/>
      <c r="I188" s="37"/>
      <c r="J188" s="38"/>
      <c r="K188" s="38"/>
      <c r="L188" s="38"/>
      <c r="M188" s="38"/>
      <c r="N188" s="38"/>
      <c r="O188" s="38"/>
      <c r="P188" s="38"/>
      <c r="Q188" s="160"/>
      <c r="R188" s="160"/>
    </row>
    <row r="189" spans="1:41" ht="15.75">
      <c r="A189" s="89" t="s">
        <v>683</v>
      </c>
      <c r="B189" s="38"/>
      <c r="C189" s="38"/>
      <c r="D189" s="38"/>
      <c r="E189" s="38"/>
      <c r="F189" s="38"/>
      <c r="G189" s="38"/>
      <c r="H189" s="88"/>
      <c r="I189" s="89" t="s">
        <v>684</v>
      </c>
      <c r="J189" s="38"/>
      <c r="K189" s="38"/>
      <c r="L189" s="38"/>
      <c r="M189" s="38"/>
      <c r="N189" s="38"/>
      <c r="O189" s="38"/>
      <c r="P189" s="38"/>
      <c r="Q189" s="160"/>
      <c r="R189" s="160"/>
    </row>
    <row r="190" spans="1:41" ht="15.75">
      <c r="A190" s="89" t="s">
        <v>995</v>
      </c>
      <c r="B190" s="38"/>
      <c r="C190" s="38"/>
      <c r="D190" s="38"/>
      <c r="E190" s="38"/>
      <c r="F190" s="38"/>
      <c r="G190" s="38"/>
      <c r="H190" s="88"/>
      <c r="I190" s="89" t="s">
        <v>995</v>
      </c>
      <c r="J190" s="38"/>
      <c r="K190" s="38"/>
      <c r="L190" s="38"/>
      <c r="M190" s="38"/>
      <c r="N190" s="38"/>
      <c r="O190" s="38"/>
      <c r="P190" s="38"/>
      <c r="Q190" s="160"/>
      <c r="R190" s="160"/>
    </row>
    <row r="191" spans="1:41">
      <c r="A191" s="91"/>
      <c r="B191" s="92"/>
      <c r="C191" s="92"/>
      <c r="D191" s="92"/>
      <c r="E191" s="92"/>
      <c r="F191" s="92"/>
      <c r="G191" s="92"/>
      <c r="H191" s="92"/>
      <c r="I191" s="93"/>
      <c r="L191" s="94"/>
      <c r="P191" s="91"/>
      <c r="Q191" s="160"/>
      <c r="R191" s="160"/>
    </row>
    <row r="192" spans="1:41" s="100" customFormat="1">
      <c r="A192" s="95"/>
      <c r="B192" s="96" t="s">
        <v>685</v>
      </c>
      <c r="C192" s="96"/>
      <c r="D192" s="96"/>
      <c r="E192" s="96"/>
      <c r="F192" s="96"/>
      <c r="G192" s="96"/>
      <c r="H192" s="97"/>
      <c r="I192" s="95"/>
      <c r="J192" s="96" t="s">
        <v>685</v>
      </c>
      <c r="K192" s="96"/>
      <c r="L192" s="96"/>
      <c r="M192" s="96"/>
      <c r="N192" s="96"/>
      <c r="O192" s="96"/>
      <c r="P192" s="97"/>
      <c r="Q192" s="160"/>
      <c r="R192" s="160"/>
    </row>
    <row r="193" spans="1:41" s="100" customFormat="1">
      <c r="A193" s="95"/>
      <c r="B193" s="96" t="s">
        <v>686</v>
      </c>
      <c r="C193" s="96"/>
      <c r="D193" s="647" t="s">
        <v>687</v>
      </c>
      <c r="E193" s="648"/>
      <c r="F193" s="648"/>
      <c r="G193" s="648"/>
      <c r="H193" s="101" t="s">
        <v>59</v>
      </c>
      <c r="I193" s="95"/>
      <c r="J193" s="96" t="s">
        <v>686</v>
      </c>
      <c r="K193" s="96"/>
      <c r="L193" s="647" t="s">
        <v>687</v>
      </c>
      <c r="M193" s="648"/>
      <c r="N193" s="648"/>
      <c r="O193" s="648"/>
      <c r="P193" s="101" t="s">
        <v>59</v>
      </c>
      <c r="Q193" s="160"/>
      <c r="R193" s="160"/>
    </row>
    <row r="194" spans="1:41" s="100" customFormat="1" ht="40.5" customHeight="1">
      <c r="A194" s="95"/>
      <c r="B194" s="102" t="s">
        <v>688</v>
      </c>
      <c r="C194" s="103" t="s">
        <v>689</v>
      </c>
      <c r="D194" s="104" t="s">
        <v>690</v>
      </c>
      <c r="E194" s="105" t="s">
        <v>9</v>
      </c>
      <c r="F194" s="102" t="s">
        <v>691</v>
      </c>
      <c r="G194" s="106" t="s">
        <v>692</v>
      </c>
      <c r="H194" s="107" t="s">
        <v>693</v>
      </c>
      <c r="I194" s="95"/>
      <c r="J194" s="102" t="s">
        <v>688</v>
      </c>
      <c r="K194" s="103" t="s">
        <v>689</v>
      </c>
      <c r="L194" s="104" t="s">
        <v>690</v>
      </c>
      <c r="M194" s="105" t="s">
        <v>9</v>
      </c>
      <c r="N194" s="102" t="s">
        <v>691</v>
      </c>
      <c r="O194" s="106" t="s">
        <v>692</v>
      </c>
      <c r="P194" s="107" t="s">
        <v>693</v>
      </c>
      <c r="Q194" s="160"/>
      <c r="R194" s="160"/>
      <c r="T194" s="131"/>
    </row>
    <row r="195" spans="1:41" ht="15.75" customHeight="1">
      <c r="A195" s="115" t="s">
        <v>653</v>
      </c>
      <c r="B195" s="111">
        <f>('Pivot Table for Data Exchange'!$H$6)*100</f>
        <v>25.487759710390804</v>
      </c>
      <c r="C195" s="111">
        <f>('Pivot Table for Data Exchange'!$H$9)*100</f>
        <v>4.5484414389658179</v>
      </c>
      <c r="D195" s="173">
        <f>SUM(E195:G195)</f>
        <v>69.963798850643371</v>
      </c>
      <c r="E195" s="111">
        <f>('Pivot Table for Data Exchange'!$H$12)*100</f>
        <v>69.963798850643371</v>
      </c>
      <c r="F195" s="111">
        <f>('Pivot Table for Data Exchange'!$H$15)*100</f>
        <v>0</v>
      </c>
      <c r="G195" s="113">
        <f>('Pivot Table for Data Exchange'!$H$18)*100</f>
        <v>0</v>
      </c>
      <c r="H195" s="120">
        <f>('Pivot Table for Data Exchange'!$H$21)*100</f>
        <v>0</v>
      </c>
      <c r="I195" s="115" t="s">
        <v>653</v>
      </c>
      <c r="J195" s="111">
        <f>('Pivot Table for Data Exchange'!$H$24)*100</f>
        <v>0</v>
      </c>
      <c r="K195" s="111">
        <f>('Pivot Table for Data Exchange'!$H$27)*100</f>
        <v>0</v>
      </c>
      <c r="L195" s="173">
        <f>SUM(M195:O195)</f>
        <v>0</v>
      </c>
      <c r="M195" s="111">
        <f>('Pivot Table for Data Exchange'!$H$30)*100</f>
        <v>0</v>
      </c>
      <c r="N195" s="111">
        <f>('Pivot Table for Data Exchange'!$H$33)*100</f>
        <v>0</v>
      </c>
      <c r="O195" s="113">
        <f>('Pivot Table for Data Exchange'!$H$36)*100</f>
        <v>0</v>
      </c>
      <c r="P195" s="111">
        <f>('Pivot Table for Data Exchange'!$H$39)*100</f>
        <v>0</v>
      </c>
      <c r="Q195" s="160">
        <f t="shared" si="34"/>
        <v>100</v>
      </c>
      <c r="R195" s="160">
        <f t="shared" si="35"/>
        <v>0</v>
      </c>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row>
    <row r="196" spans="1:41" ht="15.75" customHeight="1">
      <c r="A196" s="118" t="s">
        <v>654</v>
      </c>
      <c r="B196" s="111">
        <f>('Pivot Table for Data Exchange'!$H$42)*100</f>
        <v>87.122311891850373</v>
      </c>
      <c r="C196" s="111">
        <f>('Pivot Table for Data Exchange'!$H$45)*100</f>
        <v>1.8451547319113768</v>
      </c>
      <c r="D196" s="173">
        <f t="shared" ref="D196:D198" si="48">SUM(E196:G196)</f>
        <v>11.032533376238238</v>
      </c>
      <c r="E196" s="111">
        <f>('Pivot Table for Data Exchange'!$H$48)*100</f>
        <v>8.6999447843114304</v>
      </c>
      <c r="F196" s="111">
        <f>('Pivot Table for Data Exchange'!$H$51)*100</f>
        <v>2.3325885919268083</v>
      </c>
      <c r="G196" s="119">
        <f>('Pivot Table for Data Exchange'!$H$54)*100</f>
        <v>0</v>
      </c>
      <c r="H196" s="111">
        <f>('Pivot Table for Data Exchange'!$H$57)*100</f>
        <v>0</v>
      </c>
      <c r="I196" s="118" t="s">
        <v>654</v>
      </c>
      <c r="J196" s="111">
        <f>('Pivot Table for Data Exchange'!$H$60)*100</f>
        <v>85.250338294993227</v>
      </c>
      <c r="K196" s="111">
        <f>('Pivot Table for Data Exchange'!$H$63)*100</f>
        <v>0</v>
      </c>
      <c r="L196" s="173">
        <f t="shared" ref="L196:L198" si="49">SUM(M196:O196)</f>
        <v>14.749661705006767</v>
      </c>
      <c r="M196" s="111">
        <f>('Pivot Table for Data Exchange'!$H$66)*100</f>
        <v>0</v>
      </c>
      <c r="N196" s="111">
        <f>('Pivot Table for Data Exchange'!$H$69)*100</f>
        <v>14.749661705006767</v>
      </c>
      <c r="O196" s="119">
        <f>('Pivot Table for Data Exchange'!$H$72)*100</f>
        <v>0</v>
      </c>
      <c r="P196" s="120">
        <f>('Pivot Table for Data Exchange'!$H$75)*100</f>
        <v>0</v>
      </c>
      <c r="Q196" s="160">
        <f t="shared" si="34"/>
        <v>99.999999999999986</v>
      </c>
      <c r="R196" s="160">
        <f t="shared" si="35"/>
        <v>100</v>
      </c>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row>
    <row r="197" spans="1:41" ht="15.75" customHeight="1">
      <c r="A197" s="118" t="s">
        <v>655</v>
      </c>
      <c r="B197" s="111">
        <f>('Pivot Table for Data Exchange'!$H$78)*100</f>
        <v>0</v>
      </c>
      <c r="C197" s="111">
        <f>('Pivot Table for Data Exchange'!$H$81)*100</f>
        <v>0</v>
      </c>
      <c r="D197" s="173">
        <f t="shared" si="48"/>
        <v>0</v>
      </c>
      <c r="E197" s="111">
        <f>('Pivot Table for Data Exchange'!$H$84)*100</f>
        <v>0</v>
      </c>
      <c r="F197" s="111">
        <f>('Pivot Table for Data Exchange'!$H$87)*100</f>
        <v>0</v>
      </c>
      <c r="G197" s="119">
        <f>('Pivot Table for Data Exchange'!$H$90)*100</f>
        <v>0</v>
      </c>
      <c r="H197" s="111">
        <f>('Pivot Table for Data Exchange'!$H$93)*100</f>
        <v>0</v>
      </c>
      <c r="I197" s="118" t="s">
        <v>655</v>
      </c>
      <c r="J197" s="111">
        <f>('Pivot Table for Data Exchange'!$H$96)*100</f>
        <v>0</v>
      </c>
      <c r="K197" s="111">
        <f>('Pivot Table for Data Exchange'!$H$99)*100</f>
        <v>0</v>
      </c>
      <c r="L197" s="173">
        <f t="shared" si="49"/>
        <v>0</v>
      </c>
      <c r="M197" s="111">
        <f>('Pivot Table for Data Exchange'!$H$102)*100</f>
        <v>0</v>
      </c>
      <c r="N197" s="111">
        <f>('Pivot Table for Data Exchange'!$H$105)*100</f>
        <v>0</v>
      </c>
      <c r="O197" s="119">
        <f>('Pivot Table for Data Exchange'!$H$108)*100</f>
        <v>0</v>
      </c>
      <c r="P197" s="111">
        <f>('Pivot Table for Data Exchange'!$H$111)*100</f>
        <v>0</v>
      </c>
      <c r="Q197" s="160">
        <f t="shared" si="34"/>
        <v>0</v>
      </c>
      <c r="R197" s="160">
        <f t="shared" si="35"/>
        <v>0</v>
      </c>
      <c r="S197" s="116"/>
      <c r="T197" s="132"/>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row>
    <row r="198" spans="1:41" ht="15.75" customHeight="1">
      <c r="A198" s="118" t="s">
        <v>695</v>
      </c>
      <c r="B198" s="111">
        <f>('Pivot Table for Data Exchange'!$H$114)*100</f>
        <v>100</v>
      </c>
      <c r="C198" s="111">
        <f>('Pivot Table for Data Exchange'!$H$117)*100</f>
        <v>0</v>
      </c>
      <c r="D198" s="173">
        <f t="shared" si="48"/>
        <v>0</v>
      </c>
      <c r="E198" s="111">
        <f>('Pivot Table for Data Exchange'!$H$120)*100</f>
        <v>0</v>
      </c>
      <c r="F198" s="111">
        <f>('Pivot Table for Data Exchange'!$H$123)*100</f>
        <v>0</v>
      </c>
      <c r="G198" s="119">
        <f>('Pivot Table for Data Exchange'!$H$126)*100</f>
        <v>0</v>
      </c>
      <c r="H198" s="111">
        <f>('Pivot Table for Data Exchange'!$H$129)*100</f>
        <v>0</v>
      </c>
      <c r="I198" s="118" t="s">
        <v>695</v>
      </c>
      <c r="J198" s="111">
        <f>('Pivot Table for Data Exchange'!$H$132)*100</f>
        <v>0</v>
      </c>
      <c r="K198" s="111">
        <f>('Pivot Table for Data Exchange'!$H$135)*100</f>
        <v>0</v>
      </c>
      <c r="L198" s="173">
        <f t="shared" si="49"/>
        <v>0</v>
      </c>
      <c r="M198" s="111">
        <f>('Pivot Table for Data Exchange'!$H$138)*100</f>
        <v>0</v>
      </c>
      <c r="N198" s="111">
        <f>('Pivot Table for Data Exchange'!$H$141)*100</f>
        <v>0</v>
      </c>
      <c r="O198" s="119">
        <f>('Pivot Table for Data Exchange'!$H$144)*100</f>
        <v>0</v>
      </c>
      <c r="P198" s="111">
        <f>('Pivot Table for Data Exchange'!$H$147)*100</f>
        <v>0</v>
      </c>
      <c r="Q198" s="160">
        <f t="shared" si="34"/>
        <v>100</v>
      </c>
      <c r="R198" s="160">
        <f t="shared" si="35"/>
        <v>0</v>
      </c>
      <c r="S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row>
    <row r="199" spans="1:41" ht="15.75" customHeight="1">
      <c r="A199" s="118"/>
      <c r="B199" s="111"/>
      <c r="C199" s="111"/>
      <c r="D199" s="173"/>
      <c r="E199" s="111"/>
      <c r="F199" s="111"/>
      <c r="G199" s="119"/>
      <c r="H199" s="111"/>
      <c r="I199" s="118"/>
      <c r="J199" s="111"/>
      <c r="K199" s="111"/>
      <c r="L199" s="173"/>
      <c r="M199" s="111"/>
      <c r="N199" s="111"/>
      <c r="O199" s="119"/>
      <c r="P199" s="111"/>
      <c r="Q199" s="160">
        <f t="shared" si="34"/>
        <v>0</v>
      </c>
      <c r="R199" s="160">
        <f t="shared" si="35"/>
        <v>0</v>
      </c>
      <c r="S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row>
    <row r="200" spans="1:41" ht="15.75" customHeight="1">
      <c r="A200" s="118" t="s">
        <v>657</v>
      </c>
      <c r="B200" s="111">
        <f>('Pivot Table for Data Exchange'!$H$150)*100</f>
        <v>0</v>
      </c>
      <c r="C200" s="111">
        <f>('Pivot Table for Data Exchange'!$H$153)*100</f>
        <v>0</v>
      </c>
      <c r="D200" s="173">
        <f t="shared" ref="D200:D203" si="50">SUM(E200:G200)</f>
        <v>0</v>
      </c>
      <c r="E200" s="111">
        <f>('Pivot Table for Data Exchange'!$H$156)*100</f>
        <v>0</v>
      </c>
      <c r="F200" s="111">
        <f>('Pivot Table for Data Exchange'!$H$159)*100</f>
        <v>0</v>
      </c>
      <c r="G200" s="119">
        <f>('Pivot Table for Data Exchange'!$H$162)*100</f>
        <v>0</v>
      </c>
      <c r="H200" s="120">
        <f>('Pivot Table for Data Exchange'!$H$165)*100</f>
        <v>0</v>
      </c>
      <c r="I200" s="118" t="s">
        <v>657</v>
      </c>
      <c r="J200" s="111">
        <f>('Pivot Table for Data Exchange'!$H$168)*100</f>
        <v>0</v>
      </c>
      <c r="K200" s="111">
        <f>('Pivot Table for Data Exchange'!$H$171)*100</f>
        <v>0</v>
      </c>
      <c r="L200" s="173">
        <f t="shared" ref="L200:L203" si="51">SUM(M200:O200)</f>
        <v>0</v>
      </c>
      <c r="M200" s="111">
        <f>('Pivot Table for Data Exchange'!$H$174)*100</f>
        <v>0</v>
      </c>
      <c r="N200" s="111">
        <f>('Pivot Table for Data Exchange'!$H$177)*100</f>
        <v>0</v>
      </c>
      <c r="O200" s="121">
        <f>('Pivot Table for Data Exchange'!$H$180)*100</f>
        <v>0</v>
      </c>
      <c r="P200" s="114">
        <f>('Pivot Table for Data Exchange'!$H$183)*100</f>
        <v>0</v>
      </c>
      <c r="Q200" s="160">
        <f t="shared" si="34"/>
        <v>0</v>
      </c>
      <c r="R200" s="160">
        <f t="shared" si="35"/>
        <v>0</v>
      </c>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row>
    <row r="201" spans="1:41" ht="15.75" customHeight="1">
      <c r="A201" s="118" t="s">
        <v>658</v>
      </c>
      <c r="B201" s="111">
        <f>('Pivot Table for Data Exchange'!$H$186)*100</f>
        <v>0</v>
      </c>
      <c r="C201" s="111">
        <f>('Pivot Table for Data Exchange'!$H$189)*100</f>
        <v>0</v>
      </c>
      <c r="D201" s="173">
        <f t="shared" si="50"/>
        <v>0</v>
      </c>
      <c r="E201" s="111">
        <f>('Pivot Table for Data Exchange'!$H$192)*100</f>
        <v>0</v>
      </c>
      <c r="F201" s="111">
        <f>('Pivot Table for Data Exchange'!$H$195)*100</f>
        <v>0</v>
      </c>
      <c r="G201" s="119">
        <f>('Pivot Table for Data Exchange'!$H$198)*100</f>
        <v>0</v>
      </c>
      <c r="H201" s="111">
        <f>('Pivot Table for Data Exchange'!$H$201)*100</f>
        <v>0</v>
      </c>
      <c r="I201" s="118" t="s">
        <v>658</v>
      </c>
      <c r="J201" s="111">
        <f>('Pivot Table for Data Exchange'!$H$204)*100</f>
        <v>0</v>
      </c>
      <c r="K201" s="111">
        <f>('Pivot Table for Data Exchange'!$H$207)*100</f>
        <v>0</v>
      </c>
      <c r="L201" s="173">
        <f t="shared" si="51"/>
        <v>0</v>
      </c>
      <c r="M201" s="111">
        <f>('Pivot Table for Data Exchange'!$H$210)*100</f>
        <v>0</v>
      </c>
      <c r="N201" s="111">
        <f>('Pivot Table for Data Exchange'!$H$213)*100</f>
        <v>0</v>
      </c>
      <c r="O201" s="119">
        <f>('Pivot Table for Data Exchange'!$H$216)*100</f>
        <v>0</v>
      </c>
      <c r="P201" s="111">
        <f>('Pivot Table for Data Exchange'!$H$219)*100</f>
        <v>0</v>
      </c>
      <c r="Q201" s="160">
        <f t="shared" si="34"/>
        <v>0</v>
      </c>
      <c r="R201" s="160">
        <f t="shared" si="35"/>
        <v>0</v>
      </c>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row>
    <row r="202" spans="1:41" ht="15.75" customHeight="1">
      <c r="A202" s="118" t="s">
        <v>659</v>
      </c>
      <c r="B202" s="111">
        <f>('Pivot Table for Data Exchange'!$H$222)*100</f>
        <v>0</v>
      </c>
      <c r="C202" s="111">
        <f>('Pivot Table for Data Exchange'!$H$225)*100</f>
        <v>0</v>
      </c>
      <c r="D202" s="173">
        <f t="shared" si="50"/>
        <v>0</v>
      </c>
      <c r="E202" s="111">
        <f>('Pivot Table for Data Exchange'!$H$228)*100</f>
        <v>0</v>
      </c>
      <c r="F202" s="111">
        <f>('Pivot Table for Data Exchange'!$H$231)*100</f>
        <v>0</v>
      </c>
      <c r="G202" s="119">
        <f>('Pivot Table for Data Exchange'!$H$234)*100</f>
        <v>0</v>
      </c>
      <c r="H202" s="111">
        <f>('Pivot Table for Data Exchange'!$H$237)*100</f>
        <v>0</v>
      </c>
      <c r="I202" s="118" t="s">
        <v>659</v>
      </c>
      <c r="J202" s="111">
        <f>('Pivot Table for Data Exchange'!$H$240)*100</f>
        <v>0</v>
      </c>
      <c r="K202" s="111">
        <f>('Pivot Table for Data Exchange'!$H$243)*100</f>
        <v>0</v>
      </c>
      <c r="L202" s="173">
        <f t="shared" si="51"/>
        <v>0</v>
      </c>
      <c r="M202" s="111">
        <f>('Pivot Table for Data Exchange'!$H$246)*100</f>
        <v>0</v>
      </c>
      <c r="N202" s="111">
        <f>('Pivot Table for Data Exchange'!$H$249)*100</f>
        <v>0</v>
      </c>
      <c r="O202" s="121">
        <f>('Pivot Table for Data Exchange'!$H$252)*100</f>
        <v>0</v>
      </c>
      <c r="P202" s="111">
        <f>('Pivot Table for Data Exchange'!$H$255)*100</f>
        <v>0</v>
      </c>
      <c r="Q202" s="160">
        <f t="shared" si="34"/>
        <v>0</v>
      </c>
      <c r="R202" s="160">
        <f t="shared" si="35"/>
        <v>0</v>
      </c>
      <c r="S202" s="116"/>
      <c r="T202" s="132"/>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row>
    <row r="203" spans="1:41" ht="15.75" customHeight="1">
      <c r="A203" s="118" t="s">
        <v>700</v>
      </c>
      <c r="B203" s="111">
        <f>('Pivot Table for Data Exchange'!$H$258)*100</f>
        <v>100</v>
      </c>
      <c r="C203" s="111">
        <f>('Pivot Table for Data Exchange'!$H$261)*100</f>
        <v>0</v>
      </c>
      <c r="D203" s="173">
        <f t="shared" si="50"/>
        <v>0</v>
      </c>
      <c r="E203" s="111">
        <f>('Pivot Table for Data Exchange'!$H$264)*100</f>
        <v>0</v>
      </c>
      <c r="F203" s="120">
        <f>('Pivot Table for Data Exchange'!$H$267)*100</f>
        <v>0</v>
      </c>
      <c r="G203" s="121">
        <f>('Pivot Table for Data Exchange'!$H$270)*100</f>
        <v>0</v>
      </c>
      <c r="H203" s="111">
        <f>('Pivot Table for Data Exchange'!$H$273)*100</f>
        <v>0</v>
      </c>
      <c r="I203" s="118" t="s">
        <v>700</v>
      </c>
      <c r="J203" s="111">
        <f>('Pivot Table for Data Exchange'!$H$276)*100</f>
        <v>100</v>
      </c>
      <c r="K203" s="111">
        <f>('Pivot Table for Data Exchange'!$H$279)*100</f>
        <v>0</v>
      </c>
      <c r="L203" s="173">
        <f t="shared" si="51"/>
        <v>0</v>
      </c>
      <c r="M203" s="111">
        <f>('Pivot Table for Data Exchange'!$H$282)*100</f>
        <v>0</v>
      </c>
      <c r="N203" s="111">
        <f>('Pivot Table for Data Exchange'!$H$285)*100</f>
        <v>0</v>
      </c>
      <c r="O203" s="119">
        <f>('Pivot Table for Data Exchange'!$H$288)*100</f>
        <v>0</v>
      </c>
      <c r="P203" s="111">
        <f>('Pivot Table for Data Exchange'!$H$291)*100</f>
        <v>0</v>
      </c>
      <c r="Q203" s="160">
        <f t="shared" ref="Q203:Q266" si="52">SUM(B203,C203,D203,H203)</f>
        <v>100</v>
      </c>
      <c r="R203" s="160">
        <f t="shared" ref="R203:R217" si="53">SUM(J203,K203,L203,P203)</f>
        <v>100</v>
      </c>
      <c r="S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row>
    <row r="204" spans="1:41" ht="11.25" customHeight="1">
      <c r="A204" s="118"/>
      <c r="B204" s="111"/>
      <c r="C204" s="111"/>
      <c r="D204" s="173"/>
      <c r="E204" s="111"/>
      <c r="F204" s="111"/>
      <c r="G204" s="119"/>
      <c r="H204" s="111"/>
      <c r="I204" s="118"/>
      <c r="J204" s="111"/>
      <c r="K204" s="111"/>
      <c r="L204" s="173"/>
      <c r="M204" s="111"/>
      <c r="N204" s="111"/>
      <c r="O204" s="119"/>
      <c r="P204" s="111"/>
      <c r="Q204" s="160">
        <f t="shared" si="52"/>
        <v>0</v>
      </c>
      <c r="R204" s="160">
        <f t="shared" si="53"/>
        <v>0</v>
      </c>
      <c r="S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row>
    <row r="205" spans="1:41" ht="15.75" customHeight="1">
      <c r="A205" s="118" t="s">
        <v>661</v>
      </c>
      <c r="B205" s="111">
        <f>('Pivot Table for Data Exchange'!$H$294)*100</f>
        <v>0</v>
      </c>
      <c r="C205" s="111">
        <f>('Pivot Table for Data Exchange'!$H$297)*100</f>
        <v>0</v>
      </c>
      <c r="D205" s="173">
        <f t="shared" ref="D205:D207" si="54">SUM(E205:G205)</f>
        <v>0</v>
      </c>
      <c r="E205" s="111">
        <f>('Pivot Table for Data Exchange'!$H$300)*100</f>
        <v>0</v>
      </c>
      <c r="F205" s="111">
        <f>('Pivot Table for Data Exchange'!$H$303)*100</f>
        <v>0</v>
      </c>
      <c r="G205" s="119">
        <f>('Pivot Table for Data Exchange'!$H$306)*100</f>
        <v>0</v>
      </c>
      <c r="H205" s="111">
        <f>('Pivot Table for Data Exchange'!$H$309)*100</f>
        <v>0</v>
      </c>
      <c r="I205" s="118" t="s">
        <v>661</v>
      </c>
      <c r="J205" s="111">
        <f>('Pivot Table for Data Exchange'!$H$312)*100</f>
        <v>0</v>
      </c>
      <c r="K205" s="111">
        <f>('Pivot Table for Data Exchange'!$H$315)*100</f>
        <v>0</v>
      </c>
      <c r="L205" s="173">
        <f t="shared" ref="L205:L207" si="55">SUM(M205:O205)</f>
        <v>0</v>
      </c>
      <c r="M205" s="111">
        <f>('Pivot Table for Data Exchange'!$H$318)*100</f>
        <v>0</v>
      </c>
      <c r="N205" s="111">
        <f>('Pivot Table for Data Exchange'!$H$321)*100</f>
        <v>0</v>
      </c>
      <c r="O205" s="119">
        <f>('Pivot Table for Data Exchange'!$H$324)*100</f>
        <v>0</v>
      </c>
      <c r="P205" s="114">
        <f>('Pivot Table for Data Exchange'!$H$327)*100</f>
        <v>0</v>
      </c>
      <c r="Q205" s="160">
        <f t="shared" si="52"/>
        <v>0</v>
      </c>
      <c r="R205" s="160">
        <f t="shared" si="53"/>
        <v>0</v>
      </c>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row>
    <row r="206" spans="1:41" ht="15.75" customHeight="1">
      <c r="A206" s="118" t="s">
        <v>662</v>
      </c>
      <c r="B206" s="111">
        <f>('Pivot Table for Data Exchange'!$H$330)*100</f>
        <v>92.144871788261142</v>
      </c>
      <c r="C206" s="111">
        <f>('Pivot Table for Data Exchange'!$H$333)*100</f>
        <v>1.0328096237437931</v>
      </c>
      <c r="D206" s="173">
        <f t="shared" si="54"/>
        <v>6.8223185879950714</v>
      </c>
      <c r="E206" s="111">
        <f>('Pivot Table for Data Exchange'!$H$336)*100</f>
        <v>6.7408488323527749</v>
      </c>
      <c r="F206" s="120">
        <f>('Pivot Table for Data Exchange'!$H$339)*100</f>
        <v>8.1469755642296221E-2</v>
      </c>
      <c r="G206" s="119">
        <f>('Pivot Table for Data Exchange'!$H$342)*100</f>
        <v>0</v>
      </c>
      <c r="H206" s="111">
        <f>('Pivot Table for Data Exchange'!$H$345)*100</f>
        <v>0</v>
      </c>
      <c r="I206" s="118" t="s">
        <v>662</v>
      </c>
      <c r="J206" s="111">
        <f>('Pivot Table for Data Exchange'!$H$348)*100</f>
        <v>78.477306002928259</v>
      </c>
      <c r="K206" s="111">
        <f>('Pivot Table for Data Exchange'!$H$351)*100</f>
        <v>1.9765739385065886</v>
      </c>
      <c r="L206" s="173">
        <f t="shared" si="55"/>
        <v>19.546120058565151</v>
      </c>
      <c r="M206" s="111">
        <f>('Pivot Table for Data Exchange'!$H$354)*100</f>
        <v>19.546120058565151</v>
      </c>
      <c r="N206" s="111">
        <f>('Pivot Table for Data Exchange'!$H$357)*100</f>
        <v>0</v>
      </c>
      <c r="O206" s="121">
        <f>('Pivot Table for Data Exchange'!$H$360)*100</f>
        <v>0</v>
      </c>
      <c r="P206" s="111">
        <f>('Pivot Table for Data Exchange'!$H$363)*100</f>
        <v>0</v>
      </c>
      <c r="Q206" s="160">
        <f t="shared" si="52"/>
        <v>100</v>
      </c>
      <c r="R206" s="160">
        <f t="shared" si="53"/>
        <v>100</v>
      </c>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row>
    <row r="207" spans="1:41" ht="15.75" customHeight="1">
      <c r="A207" s="118" t="s">
        <v>663</v>
      </c>
      <c r="B207" s="111">
        <f>('Pivot Table for Data Exchange'!$H$366)*100</f>
        <v>77.432107582143601</v>
      </c>
      <c r="C207" s="111">
        <f>('Pivot Table for Data Exchange'!$H$369)*100</f>
        <v>0.90161896077893755</v>
      </c>
      <c r="D207" s="173">
        <f t="shared" si="54"/>
        <v>21.666273457077455</v>
      </c>
      <c r="E207" s="111">
        <f>('Pivot Table for Data Exchange'!$H$372)*100</f>
        <v>18.588398829298153</v>
      </c>
      <c r="F207" s="111">
        <f>('Pivot Table for Data Exchange'!$H$375)*100</f>
        <v>2.7284494576895852</v>
      </c>
      <c r="G207" s="119">
        <f>('Pivot Table for Data Exchange'!$H$378)*100</f>
        <v>0.34942517008971552</v>
      </c>
      <c r="H207" s="111">
        <f>('Pivot Table for Data Exchange'!$H$381)*100</f>
        <v>0</v>
      </c>
      <c r="I207" s="118" t="s">
        <v>663</v>
      </c>
      <c r="J207" s="111">
        <f>('Pivot Table for Data Exchange'!$H$384)*100</f>
        <v>0</v>
      </c>
      <c r="K207" s="111">
        <f>('Pivot Table for Data Exchange'!$H$387)*100</f>
        <v>0</v>
      </c>
      <c r="L207" s="173">
        <f t="shared" si="55"/>
        <v>0</v>
      </c>
      <c r="M207" s="111">
        <f>('Pivot Table for Data Exchange'!$H$390)*100</f>
        <v>0</v>
      </c>
      <c r="N207" s="111">
        <f>('Pivot Table for Data Exchange'!$H$393)*100</f>
        <v>0</v>
      </c>
      <c r="O207" s="119">
        <f>('Pivot Table for Data Exchange'!$H$396)*100</f>
        <v>0</v>
      </c>
      <c r="P207" s="111">
        <f>('Pivot Table for Data Exchange'!$H$399)*100</f>
        <v>0</v>
      </c>
      <c r="Q207" s="160">
        <f t="shared" si="52"/>
        <v>99.999999999999986</v>
      </c>
      <c r="R207" s="160">
        <f t="shared" si="53"/>
        <v>0</v>
      </c>
      <c r="S207" s="116"/>
      <c r="T207" s="132"/>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row>
    <row r="208" spans="1:41" ht="15.75" customHeight="1">
      <c r="A208" s="118" t="s">
        <v>664</v>
      </c>
      <c r="B208" s="111">
        <f>('Pivot Table for Data Exchange'!$H$402)*100</f>
        <v>89.28765379472236</v>
      </c>
      <c r="C208" s="111">
        <f>('Pivot Table for Data Exchange'!$H$405)*100</f>
        <v>6.1269715213341822</v>
      </c>
      <c r="D208" s="173">
        <f>SUM(E208:G208)</f>
        <v>4.585374683943451</v>
      </c>
      <c r="E208" s="111">
        <f>('Pivot Table for Data Exchange'!$H$408)*100</f>
        <v>4.3725292115082537</v>
      </c>
      <c r="F208" s="111">
        <f>('Pivot Table for Data Exchange'!$H$411)*100</f>
        <v>0.12437883574402483</v>
      </c>
      <c r="G208" s="119">
        <f>('Pivot Table for Data Exchange'!$H$414)*100</f>
        <v>8.8466636691172607E-2</v>
      </c>
      <c r="H208" s="111">
        <f>('Pivot Table for Data Exchange'!$H$417)*100</f>
        <v>0</v>
      </c>
      <c r="I208" s="118" t="s">
        <v>664</v>
      </c>
      <c r="J208" s="111">
        <f>('Pivot Table for Data Exchange'!$H$420)*100</f>
        <v>56.635761589403977</v>
      </c>
      <c r="K208" s="111">
        <f>('Pivot Table for Data Exchange'!$H$423)*100</f>
        <v>17.85430463576159</v>
      </c>
      <c r="L208" s="173">
        <f>SUM(M208:O208)</f>
        <v>25.50993377483444</v>
      </c>
      <c r="M208" s="111">
        <f>('Pivot Table for Data Exchange'!$H$426)*100</f>
        <v>24.317880794701988</v>
      </c>
      <c r="N208" s="120">
        <f>('Pivot Table for Data Exchange'!$H$429)*100</f>
        <v>0</v>
      </c>
      <c r="O208" s="119">
        <f>('Pivot Table for Data Exchange'!$H$432)*100</f>
        <v>1.1920529801324504</v>
      </c>
      <c r="P208" s="111">
        <f>('Pivot Table for Data Exchange'!$H$435)*100</f>
        <v>0</v>
      </c>
      <c r="Q208" s="160">
        <f t="shared" si="52"/>
        <v>100</v>
      </c>
      <c r="R208" s="160">
        <f t="shared" si="53"/>
        <v>100</v>
      </c>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row>
    <row r="209" spans="1:41" ht="11.25" customHeight="1">
      <c r="A209" s="118"/>
      <c r="B209" s="111"/>
      <c r="C209" s="111"/>
      <c r="D209" s="173"/>
      <c r="E209" s="111"/>
      <c r="F209" s="111"/>
      <c r="G209" s="119"/>
      <c r="H209" s="111"/>
      <c r="I209" s="118"/>
      <c r="J209" s="111"/>
      <c r="K209" s="111"/>
      <c r="L209" s="173"/>
      <c r="M209" s="111"/>
      <c r="N209" s="111"/>
      <c r="O209" s="119"/>
      <c r="P209" s="111"/>
      <c r="Q209" s="160">
        <f t="shared" si="52"/>
        <v>0</v>
      </c>
      <c r="R209" s="160">
        <f t="shared" si="53"/>
        <v>0</v>
      </c>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row>
    <row r="210" spans="1:41" ht="15.75" customHeight="1">
      <c r="A210" s="118" t="s">
        <v>665</v>
      </c>
      <c r="B210" s="111">
        <f>('Pivot Table for Data Exchange'!$H$438)*100</f>
        <v>0</v>
      </c>
      <c r="C210" s="111">
        <f>('Pivot Table for Data Exchange'!$H$441)*100</f>
        <v>0</v>
      </c>
      <c r="D210" s="173">
        <f>SUM(E210:G210)</f>
        <v>0</v>
      </c>
      <c r="E210" s="111">
        <f>('Pivot Table for Data Exchange'!$H$444)*100</f>
        <v>0</v>
      </c>
      <c r="F210" s="111">
        <f>('Pivot Table for Data Exchange'!$H$447)*100</f>
        <v>0</v>
      </c>
      <c r="G210" s="119">
        <f>('Pivot Table for Data Exchange'!$H$450)*100</f>
        <v>0</v>
      </c>
      <c r="H210" s="111">
        <f>('Pivot Table for Data Exchange'!$H$453)*100</f>
        <v>0</v>
      </c>
      <c r="I210" s="118" t="s">
        <v>665</v>
      </c>
      <c r="J210" s="111">
        <f>('Pivot Table for Data Exchange'!$H$456)*100</f>
        <v>0</v>
      </c>
      <c r="K210" s="111">
        <f>('Pivot Table for Data Exchange'!$H$459)*100</f>
        <v>0</v>
      </c>
      <c r="L210" s="173">
        <f>SUM(M210:O210)</f>
        <v>0</v>
      </c>
      <c r="M210" s="111">
        <f>('Pivot Table for Data Exchange'!$H$462)*100</f>
        <v>0</v>
      </c>
      <c r="N210" s="111">
        <f>('Pivot Table for Data Exchange'!$H$465)*100</f>
        <v>0</v>
      </c>
      <c r="O210" s="119">
        <f>('Pivot Table for Data Exchange'!$H$468)*100</f>
        <v>0</v>
      </c>
      <c r="P210" s="111">
        <f>('Pivot Table for Data Exchange'!$H$471)*100</f>
        <v>0</v>
      </c>
      <c r="Q210" s="160">
        <f t="shared" si="52"/>
        <v>0</v>
      </c>
      <c r="R210" s="160">
        <f t="shared" si="53"/>
        <v>0</v>
      </c>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row>
    <row r="211" spans="1:41" ht="15.75" customHeight="1">
      <c r="A211" s="118" t="s">
        <v>666</v>
      </c>
      <c r="B211" s="111">
        <f>('Pivot Table for Data Exchange'!$H$474)*100</f>
        <v>100</v>
      </c>
      <c r="C211" s="111">
        <f>('Pivot Table for Data Exchange'!$H$477)*100</f>
        <v>0</v>
      </c>
      <c r="D211" s="173">
        <f>SUM(E211:G211)</f>
        <v>0</v>
      </c>
      <c r="E211" s="111">
        <f>('Pivot Table for Data Exchange'!$H$480)*100</f>
        <v>0</v>
      </c>
      <c r="F211" s="111">
        <f>('Pivot Table for Data Exchange'!$H$483)*100</f>
        <v>0</v>
      </c>
      <c r="G211" s="119">
        <f>('Pivot Table for Data Exchange'!$H$486)*100</f>
        <v>0</v>
      </c>
      <c r="H211" s="111">
        <f>('Pivot Table for Data Exchange'!$H$489)*100</f>
        <v>0</v>
      </c>
      <c r="I211" s="118" t="s">
        <v>666</v>
      </c>
      <c r="J211" s="111">
        <f>('Pivot Table for Data Exchange'!$H$492)*100</f>
        <v>93.821510297482831</v>
      </c>
      <c r="K211" s="111">
        <f>('Pivot Table for Data Exchange'!$H$495)*100</f>
        <v>2.0594965675057209</v>
      </c>
      <c r="L211" s="173">
        <f>SUM(M211:O211)</f>
        <v>4.1189931350114417</v>
      </c>
      <c r="M211" s="111">
        <f>('Pivot Table for Data Exchange'!$H$498)*100</f>
        <v>4.1189931350114417</v>
      </c>
      <c r="N211" s="111">
        <f>('Pivot Table for Data Exchange'!$H$501)*100</f>
        <v>0</v>
      </c>
      <c r="O211" s="119">
        <f>('Pivot Table for Data Exchange'!$H$504)*100</f>
        <v>0</v>
      </c>
      <c r="P211" s="111">
        <f>('Pivot Table for Data Exchange'!$H$507)*100</f>
        <v>0</v>
      </c>
      <c r="Q211" s="160">
        <f t="shared" si="52"/>
        <v>100</v>
      </c>
      <c r="R211" s="160">
        <f t="shared" si="53"/>
        <v>99.999999999999986</v>
      </c>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row>
    <row r="212" spans="1:41" ht="15.75" customHeight="1">
      <c r="A212" s="118" t="s">
        <v>667</v>
      </c>
      <c r="B212" s="111">
        <f>('Pivot Table for Data Exchange'!$H$510)*100</f>
        <v>0</v>
      </c>
      <c r="C212" s="111">
        <f>('Pivot Table for Data Exchange'!$H$513)*100</f>
        <v>0</v>
      </c>
      <c r="D212" s="173">
        <f t="shared" ref="D212" si="56">SUM(E212:G212)</f>
        <v>0</v>
      </c>
      <c r="E212" s="111">
        <f>('Pivot Table for Data Exchange'!$H$516)*100</f>
        <v>0</v>
      </c>
      <c r="F212" s="111">
        <f>('Pivot Table for Data Exchange'!$H$519)*100</f>
        <v>0</v>
      </c>
      <c r="G212" s="119">
        <f>('Pivot Table for Data Exchange'!$H$522)*100</f>
        <v>0</v>
      </c>
      <c r="H212" s="111">
        <f>('Pivot Table for Data Exchange'!$H$525)*100</f>
        <v>0</v>
      </c>
      <c r="I212" s="118" t="s">
        <v>667</v>
      </c>
      <c r="J212" s="111">
        <f>('Pivot Table for Data Exchange'!$H$528)*100</f>
        <v>0</v>
      </c>
      <c r="K212" s="111">
        <f>('Pivot Table for Data Exchange'!$H$531)*100</f>
        <v>0</v>
      </c>
      <c r="L212" s="173">
        <f t="shared" ref="L212" si="57">SUM(M212:O212)</f>
        <v>0</v>
      </c>
      <c r="M212" s="111">
        <f>('Pivot Table for Data Exchange'!$H$534)*100</f>
        <v>0</v>
      </c>
      <c r="N212" s="111">
        <f>('Pivot Table for Data Exchange'!$H$537)*100</f>
        <v>0</v>
      </c>
      <c r="O212" s="119">
        <f>('Pivot Table for Data Exchange'!$H$540)*100</f>
        <v>0</v>
      </c>
      <c r="P212" s="111">
        <f>('Pivot Table for Data Exchange'!$H$543)*100</f>
        <v>0</v>
      </c>
      <c r="Q212" s="160">
        <f t="shared" si="52"/>
        <v>0</v>
      </c>
      <c r="R212" s="160">
        <f t="shared" si="53"/>
        <v>0</v>
      </c>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row>
    <row r="213" spans="1:41" ht="15.75" customHeight="1">
      <c r="A213" s="91" t="s">
        <v>668</v>
      </c>
      <c r="B213" s="122">
        <f>('Pivot Table for Data Exchange'!$H$546)*100</f>
        <v>85.160473425510503</v>
      </c>
      <c r="C213" s="122">
        <f>('Pivot Table for Data Exchange'!$H$549)*100</f>
        <v>6.2841399069956321</v>
      </c>
      <c r="D213" s="174">
        <f>SUM(E213:G213)</f>
        <v>8.5553866674938739</v>
      </c>
      <c r="E213" s="122">
        <f>('Pivot Table for Data Exchange'!$H$552)*100</f>
        <v>7.72517180991915</v>
      </c>
      <c r="F213" s="122">
        <f>('Pivot Table for Data Exchange'!$H$555)*100</f>
        <v>0.80455264560485273</v>
      </c>
      <c r="G213" s="124">
        <f>('Pivot Table for Data Exchange'!$H$558)*100</f>
        <v>2.5662211969870872E-2</v>
      </c>
      <c r="H213" s="125">
        <f>('Pivot Table for Data Exchange'!$H$561)*100</f>
        <v>0</v>
      </c>
      <c r="I213" s="91" t="s">
        <v>668</v>
      </c>
      <c r="J213" s="122">
        <f>('Pivot Table for Data Exchange'!$H$564)*100</f>
        <v>24.22825070159027</v>
      </c>
      <c r="K213" s="122">
        <f>('Pivot Table for Data Exchange'!$H$567)*100</f>
        <v>27.502338634237606</v>
      </c>
      <c r="L213" s="174">
        <f>SUM(M213:O213)</f>
        <v>48.269410664172128</v>
      </c>
      <c r="M213" s="122">
        <f>('Pivot Table for Data Exchange'!$H$570)*100</f>
        <v>48.269410664172128</v>
      </c>
      <c r="N213" s="122">
        <f>('Pivot Table for Data Exchange'!$H$573)*100</f>
        <v>0</v>
      </c>
      <c r="O213" s="124">
        <f>('Pivot Table for Data Exchange'!$H$576)*100</f>
        <v>0</v>
      </c>
      <c r="P213" s="122">
        <f>('Pivot Table for Data Exchange'!$H$579)*100</f>
        <v>0</v>
      </c>
      <c r="Q213" s="160">
        <f t="shared" si="52"/>
        <v>100.00000000000001</v>
      </c>
      <c r="R213" s="160">
        <f t="shared" si="53"/>
        <v>100</v>
      </c>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row>
    <row r="214" spans="1:41" s="60" customFormat="1" ht="18" customHeight="1">
      <c r="A214" s="58" t="s">
        <v>697</v>
      </c>
      <c r="B214" s="126"/>
      <c r="C214" s="126"/>
      <c r="D214" s="127"/>
      <c r="E214" s="126"/>
      <c r="F214" s="127"/>
      <c r="G214" s="127"/>
      <c r="H214" s="126"/>
      <c r="I214" s="58" t="s">
        <v>697</v>
      </c>
      <c r="J214" s="126"/>
      <c r="K214" s="126"/>
      <c r="L214" s="127"/>
      <c r="M214" s="126"/>
      <c r="N214" s="127"/>
      <c r="O214" s="127"/>
      <c r="P214" s="126"/>
      <c r="Q214" s="160">
        <f t="shared" si="52"/>
        <v>0</v>
      </c>
      <c r="R214" s="160">
        <f t="shared" si="53"/>
        <v>0</v>
      </c>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row>
    <row r="215" spans="1:41" s="60" customFormat="1" ht="26.25" customHeight="1">
      <c r="A215" s="649" t="s">
        <v>698</v>
      </c>
      <c r="B215" s="654"/>
      <c r="C215" s="654"/>
      <c r="D215" s="654"/>
      <c r="E215" s="654"/>
      <c r="F215" s="654"/>
      <c r="G215" s="654"/>
      <c r="H215" s="654"/>
      <c r="I215" s="649" t="s">
        <v>698</v>
      </c>
      <c r="J215" s="654"/>
      <c r="K215" s="654"/>
      <c r="L215" s="654"/>
      <c r="M215" s="654"/>
      <c r="N215" s="654"/>
      <c r="O215" s="654"/>
      <c r="P215" s="654"/>
      <c r="Q215" s="160">
        <f t="shared" si="52"/>
        <v>0</v>
      </c>
      <c r="R215" s="160">
        <f t="shared" si="53"/>
        <v>0</v>
      </c>
    </row>
    <row r="216" spans="1:41" s="60" customFormat="1" ht="10.5" customHeight="1">
      <c r="A216" s="137"/>
      <c r="B216" s="176"/>
      <c r="C216" s="176"/>
      <c r="D216" s="138"/>
      <c r="E216" s="176"/>
      <c r="F216" s="176"/>
      <c r="G216" s="177"/>
      <c r="H216" s="177"/>
      <c r="I216" s="137"/>
      <c r="J216" s="176"/>
      <c r="K216" s="176"/>
      <c r="L216" s="138"/>
      <c r="M216" s="176"/>
      <c r="N216" s="176"/>
      <c r="O216" s="176"/>
      <c r="P216" s="177"/>
      <c r="Q216" s="160"/>
      <c r="R216" s="160"/>
    </row>
    <row r="217" spans="1:41" s="60" customFormat="1">
      <c r="H217" s="64" t="s">
        <v>1034</v>
      </c>
      <c r="P217" s="64" t="s">
        <v>1034</v>
      </c>
      <c r="Q217" s="160">
        <f t="shared" si="52"/>
        <v>0</v>
      </c>
      <c r="R217" s="160">
        <f t="shared" si="53"/>
        <v>0</v>
      </c>
    </row>
    <row r="218" spans="1:41" ht="18">
      <c r="A218" s="31" t="s">
        <v>1018</v>
      </c>
      <c r="B218" s="86"/>
      <c r="C218" s="86"/>
      <c r="D218" s="86"/>
      <c r="E218" s="86"/>
      <c r="F218" s="86"/>
      <c r="G218" s="86"/>
      <c r="H218" s="87"/>
      <c r="I218" s="118"/>
      <c r="J218" s="118"/>
      <c r="K218" s="118"/>
      <c r="L218" s="118"/>
      <c r="M218" s="118"/>
      <c r="N218" s="118"/>
      <c r="O218" s="118"/>
      <c r="P218" s="118"/>
      <c r="Q218" s="160">
        <f t="shared" si="52"/>
        <v>0</v>
      </c>
    </row>
    <row r="219" spans="1:41">
      <c r="A219" s="37"/>
      <c r="B219" s="38"/>
      <c r="C219" s="38"/>
      <c r="D219" s="38"/>
      <c r="E219" s="38"/>
      <c r="F219" s="38"/>
      <c r="G219" s="38"/>
      <c r="H219" s="88"/>
      <c r="I219" s="118"/>
      <c r="J219" s="118"/>
      <c r="K219" s="118"/>
      <c r="L219" s="118"/>
      <c r="M219" s="118"/>
      <c r="N219" s="118"/>
      <c r="O219" s="118"/>
      <c r="P219" s="118"/>
      <c r="Q219" s="160">
        <f t="shared" si="52"/>
        <v>0</v>
      </c>
    </row>
    <row r="220" spans="1:41" ht="15.75">
      <c r="A220" s="89" t="s">
        <v>683</v>
      </c>
      <c r="B220" s="38"/>
      <c r="C220" s="38"/>
      <c r="D220" s="38"/>
      <c r="E220" s="38"/>
      <c r="F220" s="38"/>
      <c r="G220" s="38"/>
      <c r="H220" s="88"/>
      <c r="I220" s="141"/>
      <c r="J220" s="118"/>
      <c r="K220" s="118"/>
      <c r="L220" s="88"/>
      <c r="M220" s="118"/>
      <c r="N220" s="118"/>
      <c r="O220" s="118"/>
      <c r="P220" s="118"/>
      <c r="Q220" s="160">
        <f t="shared" si="52"/>
        <v>0</v>
      </c>
    </row>
    <row r="221" spans="1:41" ht="15.75">
      <c r="A221" s="89" t="s">
        <v>996</v>
      </c>
      <c r="B221" s="38"/>
      <c r="C221" s="38"/>
      <c r="D221" s="38"/>
      <c r="E221" s="38"/>
      <c r="F221" s="38"/>
      <c r="G221" s="38"/>
      <c r="H221" s="88"/>
      <c r="I221" s="141"/>
      <c r="J221" s="118"/>
      <c r="K221" s="118"/>
      <c r="L221" s="118"/>
      <c r="M221" s="118"/>
      <c r="N221" s="118"/>
      <c r="O221" s="118"/>
      <c r="P221" s="118"/>
      <c r="Q221" s="160">
        <f t="shared" si="52"/>
        <v>0</v>
      </c>
    </row>
    <row r="222" spans="1:41">
      <c r="A222" s="91"/>
      <c r="B222" s="92"/>
      <c r="C222" s="92"/>
      <c r="D222" s="92"/>
      <c r="E222" s="92"/>
      <c r="F222" s="92"/>
      <c r="G222" s="92"/>
      <c r="H222" s="92"/>
      <c r="I222" s="141"/>
      <c r="J222" s="118"/>
      <c r="K222" s="118"/>
      <c r="L222" s="118"/>
      <c r="M222" s="118"/>
      <c r="N222" s="118"/>
      <c r="O222" s="118"/>
      <c r="P222" s="118"/>
      <c r="Q222" s="160">
        <f t="shared" si="52"/>
        <v>0</v>
      </c>
    </row>
    <row r="223" spans="1:41">
      <c r="A223" s="95"/>
      <c r="B223" s="96" t="s">
        <v>685</v>
      </c>
      <c r="C223" s="96"/>
      <c r="D223" s="96"/>
      <c r="E223" s="96"/>
      <c r="F223" s="96"/>
      <c r="G223" s="96"/>
      <c r="H223" s="97"/>
      <c r="I223" s="141"/>
      <c r="J223" s="118"/>
      <c r="K223" s="118"/>
      <c r="L223" s="118"/>
      <c r="M223" s="118"/>
      <c r="N223" s="118"/>
      <c r="O223" s="118"/>
      <c r="P223" s="118"/>
      <c r="Q223" s="160">
        <f t="shared" si="52"/>
        <v>0</v>
      </c>
    </row>
    <row r="224" spans="1:41">
      <c r="A224" s="95"/>
      <c r="B224" s="96" t="s">
        <v>686</v>
      </c>
      <c r="C224" s="96"/>
      <c r="D224" s="647" t="s">
        <v>687</v>
      </c>
      <c r="E224" s="648"/>
      <c r="F224" s="648"/>
      <c r="G224" s="648"/>
      <c r="H224" s="101" t="s">
        <v>59</v>
      </c>
      <c r="I224" s="141"/>
      <c r="J224" s="118"/>
      <c r="K224" s="118"/>
      <c r="L224" s="118"/>
      <c r="M224" s="118"/>
      <c r="N224" s="118"/>
      <c r="O224" s="118"/>
      <c r="P224" s="118"/>
      <c r="Q224" s="160">
        <f t="shared" si="52"/>
        <v>0</v>
      </c>
    </row>
    <row r="225" spans="1:41" ht="36">
      <c r="A225" s="95"/>
      <c r="B225" s="102" t="s">
        <v>688</v>
      </c>
      <c r="C225" s="103" t="s">
        <v>689</v>
      </c>
      <c r="D225" s="104" t="s">
        <v>690</v>
      </c>
      <c r="E225" s="105" t="s">
        <v>9</v>
      </c>
      <c r="F225" s="102" t="s">
        <v>691</v>
      </c>
      <c r="G225" s="106" t="s">
        <v>692</v>
      </c>
      <c r="H225" s="107" t="s">
        <v>693</v>
      </c>
      <c r="I225" s="131"/>
      <c r="J225" s="100"/>
      <c r="K225" s="100"/>
      <c r="L225" s="100"/>
      <c r="M225" s="100"/>
      <c r="N225" s="100"/>
      <c r="O225" s="100"/>
      <c r="P225" s="118"/>
      <c r="Q225" s="160">
        <f t="shared" si="52"/>
        <v>0</v>
      </c>
    </row>
    <row r="226" spans="1:41" ht="15.75" customHeight="1">
      <c r="A226" s="115" t="s">
        <v>653</v>
      </c>
      <c r="B226" s="111">
        <f>('Pivot Table for Data Exchange'!$O$6)*100</f>
        <v>83.498764894831538</v>
      </c>
      <c r="C226" s="111">
        <f>('Pivot Table for Data Exchange'!$O$9)*100</f>
        <v>2.2877962790599589</v>
      </c>
      <c r="D226" s="173">
        <f>SUM(E226:G226)</f>
        <v>14.005143635493962</v>
      </c>
      <c r="E226" s="111">
        <f>('Pivot Table for Data Exchange'!$O$12)*100</f>
        <v>13.064652028170176</v>
      </c>
      <c r="F226" s="111">
        <f>('Pivot Table for Data Exchange'!$O$15)*100</f>
        <v>0.4371515033583166</v>
      </c>
      <c r="G226" s="113">
        <f>('Pivot Table for Data Exchange'!$O$18)*100</f>
        <v>0.5033401039654688</v>
      </c>
      <c r="H226" s="120">
        <f>('Pivot Table for Data Exchange'!$O$21)*100</f>
        <v>0.20829519061454269</v>
      </c>
      <c r="I226" s="117"/>
      <c r="J226" s="117"/>
      <c r="K226" s="117"/>
      <c r="L226" s="117"/>
      <c r="M226" s="117"/>
      <c r="N226" s="117"/>
      <c r="O226" s="117"/>
      <c r="P226" s="143"/>
      <c r="Q226" s="160">
        <f t="shared" si="52"/>
        <v>100.00000000000001</v>
      </c>
      <c r="R226" s="160"/>
      <c r="Z226" s="116"/>
      <c r="AA226" s="116"/>
      <c r="AB226" s="116"/>
      <c r="AC226" s="116"/>
      <c r="AD226" s="116"/>
      <c r="AE226" s="116"/>
      <c r="AF226" s="116"/>
      <c r="AG226" s="116"/>
      <c r="AH226" s="116"/>
      <c r="AI226" s="116"/>
      <c r="AJ226" s="116"/>
      <c r="AK226" s="116"/>
      <c r="AL226" s="116"/>
      <c r="AM226" s="116"/>
      <c r="AN226" s="116"/>
      <c r="AO226" s="116"/>
    </row>
    <row r="227" spans="1:41" ht="15.75" customHeight="1">
      <c r="A227" s="118" t="s">
        <v>654</v>
      </c>
      <c r="B227" s="111">
        <f>('Pivot Table for Data Exchange'!$O$42)*100</f>
        <v>71.317005185382556</v>
      </c>
      <c r="C227" s="111">
        <f>('Pivot Table for Data Exchange'!$O$45)*100</f>
        <v>10.177860671025394</v>
      </c>
      <c r="D227" s="173">
        <f t="shared" ref="D227:D229" si="58">SUM(E227:G227)</f>
        <v>18.496935910311329</v>
      </c>
      <c r="E227" s="111">
        <f>('Pivot Table for Data Exchange'!$O$48)*100</f>
        <v>14.596954356336209</v>
      </c>
      <c r="F227" s="111">
        <f>('Pivot Table for Data Exchange'!$O$51)*100</f>
        <v>0.93123731835789392</v>
      </c>
      <c r="G227" s="119">
        <f>('Pivot Table for Data Exchange'!$O$54)*100</f>
        <v>2.9687442356172244</v>
      </c>
      <c r="H227" s="111">
        <f>('Pivot Table for Data Exchange'!$O$57)*100</f>
        <v>8.1982332807280026E-3</v>
      </c>
      <c r="I227" s="117"/>
      <c r="J227" s="117"/>
      <c r="K227" s="117"/>
      <c r="L227" s="117"/>
      <c r="M227" s="117"/>
      <c r="N227" s="117"/>
      <c r="O227" s="117"/>
      <c r="P227" s="143"/>
      <c r="Q227" s="160">
        <f t="shared" si="52"/>
        <v>100</v>
      </c>
      <c r="R227" s="160"/>
      <c r="Z227" s="116"/>
      <c r="AA227" s="116"/>
      <c r="AB227" s="116"/>
      <c r="AC227" s="116"/>
      <c r="AD227" s="116"/>
      <c r="AE227" s="116"/>
      <c r="AF227" s="116"/>
      <c r="AG227" s="116"/>
      <c r="AH227" s="116"/>
      <c r="AI227" s="116"/>
      <c r="AJ227" s="116"/>
      <c r="AK227" s="116"/>
      <c r="AL227" s="116"/>
      <c r="AM227" s="116"/>
      <c r="AN227" s="116"/>
      <c r="AO227" s="116"/>
    </row>
    <row r="228" spans="1:41" ht="15.75" customHeight="1">
      <c r="A228" s="118" t="s">
        <v>655</v>
      </c>
      <c r="B228" s="111">
        <f>('Pivot Table for Data Exchange'!$O$78)*100</f>
        <v>0</v>
      </c>
      <c r="C228" s="111">
        <f>('Pivot Table for Data Exchange'!$O$81)*100</f>
        <v>0</v>
      </c>
      <c r="D228" s="173">
        <f t="shared" si="58"/>
        <v>0</v>
      </c>
      <c r="E228" s="111">
        <f>('Pivot Table for Data Exchange'!$O$84)*100</f>
        <v>0</v>
      </c>
      <c r="F228" s="111">
        <f>('Pivot Table for Data Exchange'!$O$87)*100</f>
        <v>0</v>
      </c>
      <c r="G228" s="119">
        <f>('Pivot Table for Data Exchange'!$O$90)*100</f>
        <v>0</v>
      </c>
      <c r="H228" s="111">
        <f>('Pivot Table for Data Exchange'!$O$93)*100</f>
        <v>0</v>
      </c>
      <c r="I228" s="117"/>
      <c r="J228" s="117"/>
      <c r="K228" s="117"/>
      <c r="L228" s="117"/>
      <c r="M228" s="117"/>
      <c r="N228" s="117"/>
      <c r="O228" s="117"/>
      <c r="P228" s="143"/>
      <c r="Q228" s="160">
        <f t="shared" si="52"/>
        <v>0</v>
      </c>
      <c r="R228" s="160"/>
      <c r="Z228" s="116"/>
      <c r="AA228" s="116"/>
      <c r="AB228" s="116"/>
      <c r="AC228" s="116"/>
      <c r="AD228" s="116"/>
      <c r="AE228" s="116"/>
      <c r="AF228" s="116"/>
      <c r="AG228" s="116"/>
      <c r="AH228" s="116"/>
      <c r="AI228" s="116"/>
      <c r="AJ228" s="116"/>
      <c r="AK228" s="116"/>
      <c r="AL228" s="116"/>
      <c r="AM228" s="116"/>
      <c r="AN228" s="116"/>
      <c r="AO228" s="116"/>
    </row>
    <row r="229" spans="1:41" ht="15.75" customHeight="1">
      <c r="A229" s="118" t="s">
        <v>695</v>
      </c>
      <c r="B229" s="111">
        <f>('Pivot Table for Data Exchange'!$O$114)*100</f>
        <v>79.363404349922561</v>
      </c>
      <c r="C229" s="111">
        <f>('Pivot Table for Data Exchange'!$O$117)*100</f>
        <v>2.5530843299911954</v>
      </c>
      <c r="D229" s="173">
        <f t="shared" si="58"/>
        <v>17.818027974732139</v>
      </c>
      <c r="E229" s="111">
        <f>('Pivot Table for Data Exchange'!$O$120)*100</f>
        <v>13.320465640384285</v>
      </c>
      <c r="F229" s="111">
        <f>('Pivot Table for Data Exchange'!$O$123)*100</f>
        <v>0.24248973871408763</v>
      </c>
      <c r="G229" s="119">
        <f>('Pivot Table for Data Exchange'!$O$126)*100</f>
        <v>4.2550725956337683</v>
      </c>
      <c r="H229" s="111">
        <f>('Pivot Table for Data Exchange'!$O$129)*100</f>
        <v>0.26548334535410045</v>
      </c>
      <c r="I229" s="117"/>
      <c r="J229" s="117"/>
      <c r="K229" s="117"/>
      <c r="L229" s="117"/>
      <c r="M229" s="117"/>
      <c r="N229" s="117"/>
      <c r="O229" s="117"/>
      <c r="P229" s="143"/>
      <c r="Q229" s="160">
        <f t="shared" si="52"/>
        <v>99.999999999999986</v>
      </c>
      <c r="R229" s="160"/>
      <c r="Z229" s="116"/>
      <c r="AA229" s="116"/>
      <c r="AB229" s="116"/>
      <c r="AC229" s="116"/>
      <c r="AD229" s="116"/>
      <c r="AE229" s="116"/>
      <c r="AF229" s="116"/>
      <c r="AG229" s="116"/>
      <c r="AH229" s="116"/>
      <c r="AI229" s="116"/>
      <c r="AJ229" s="116"/>
      <c r="AK229" s="116"/>
      <c r="AL229" s="116"/>
      <c r="AM229" s="116"/>
      <c r="AN229" s="116"/>
      <c r="AO229" s="116"/>
    </row>
    <row r="230" spans="1:41" ht="15.75" customHeight="1">
      <c r="A230" s="118"/>
      <c r="B230" s="111"/>
      <c r="C230" s="111"/>
      <c r="D230" s="173"/>
      <c r="E230" s="111"/>
      <c r="F230" s="111"/>
      <c r="G230" s="119"/>
      <c r="H230" s="111"/>
      <c r="I230" s="117"/>
      <c r="J230" s="117"/>
      <c r="K230" s="117"/>
      <c r="L230" s="117"/>
      <c r="M230" s="117"/>
      <c r="N230" s="117"/>
      <c r="O230" s="117"/>
      <c r="P230" s="143"/>
      <c r="Q230" s="160">
        <f t="shared" si="52"/>
        <v>0</v>
      </c>
      <c r="R230" s="160"/>
      <c r="Z230" s="116"/>
      <c r="AA230" s="116"/>
      <c r="AB230" s="116"/>
      <c r="AC230" s="116"/>
      <c r="AD230" s="116"/>
      <c r="AE230" s="116"/>
      <c r="AF230" s="116"/>
      <c r="AG230" s="116"/>
      <c r="AH230" s="116"/>
      <c r="AI230" s="116"/>
      <c r="AJ230" s="116"/>
      <c r="AK230" s="116"/>
      <c r="AL230" s="116"/>
      <c r="AM230" s="116"/>
      <c r="AN230" s="116"/>
      <c r="AO230" s="116"/>
    </row>
    <row r="231" spans="1:41" ht="15.75" customHeight="1">
      <c r="A231" s="118" t="s">
        <v>657</v>
      </c>
      <c r="B231" s="111">
        <f>('Pivot Table for Data Exchange'!$O$150)*100</f>
        <v>0</v>
      </c>
      <c r="C231" s="111">
        <f>('Pivot Table for Data Exchange'!$O$153)*100</f>
        <v>0</v>
      </c>
      <c r="D231" s="173">
        <f t="shared" ref="D231:D234" si="59">SUM(E231:G231)</f>
        <v>0</v>
      </c>
      <c r="E231" s="111">
        <f>('Pivot Table for Data Exchange'!$O$156)*100</f>
        <v>0</v>
      </c>
      <c r="F231" s="111">
        <f>('Pivot Table for Data Exchange'!$O$159)*100</f>
        <v>0</v>
      </c>
      <c r="G231" s="119">
        <f>('Pivot Table for Data Exchange'!$O$162)*100</f>
        <v>0</v>
      </c>
      <c r="H231" s="120">
        <f>('Pivot Table for Data Exchange'!$O$165)*100</f>
        <v>0</v>
      </c>
      <c r="I231" s="117"/>
      <c r="J231" s="117"/>
      <c r="K231" s="117"/>
      <c r="L231" s="117"/>
      <c r="M231" s="117"/>
      <c r="N231" s="117"/>
      <c r="O231" s="117"/>
      <c r="P231" s="143"/>
      <c r="Q231" s="160">
        <f t="shared" si="52"/>
        <v>0</v>
      </c>
      <c r="R231" s="160"/>
      <c r="Z231" s="116"/>
      <c r="AA231" s="116"/>
      <c r="AB231" s="116"/>
      <c r="AC231" s="116"/>
      <c r="AD231" s="116"/>
      <c r="AE231" s="116"/>
      <c r="AF231" s="116"/>
      <c r="AG231" s="116"/>
      <c r="AH231" s="116"/>
      <c r="AI231" s="116"/>
      <c r="AJ231" s="116"/>
      <c r="AK231" s="116"/>
      <c r="AL231" s="116"/>
      <c r="AM231" s="116"/>
      <c r="AN231" s="116"/>
      <c r="AO231" s="116"/>
    </row>
    <row r="232" spans="1:41" ht="15.75" customHeight="1">
      <c r="A232" s="118" t="s">
        <v>658</v>
      </c>
      <c r="B232" s="111">
        <f>('Pivot Table for Data Exchange'!$O$186)*100</f>
        <v>68.912011572961475</v>
      </c>
      <c r="C232" s="111">
        <f>('Pivot Table for Data Exchange'!$O$189)*100</f>
        <v>7.3702549952974792</v>
      </c>
      <c r="D232" s="173">
        <f t="shared" si="59"/>
        <v>23.717733431741046</v>
      </c>
      <c r="E232" s="111">
        <f>('Pivot Table for Data Exchange'!$O$192)*100</f>
        <v>22.752560242882033</v>
      </c>
      <c r="F232" s="111">
        <f>('Pivot Table for Data Exchange'!$O$195)*100</f>
        <v>0.9651731888590136</v>
      </c>
      <c r="G232" s="119">
        <f>('Pivot Table for Data Exchange'!$O$198)*100</f>
        <v>0</v>
      </c>
      <c r="H232" s="111">
        <f>('Pivot Table for Data Exchange'!$O$201)*100</f>
        <v>0</v>
      </c>
      <c r="I232" s="117"/>
      <c r="J232" s="117"/>
      <c r="K232" s="117"/>
      <c r="L232" s="117"/>
      <c r="M232" s="117"/>
      <c r="N232" s="117"/>
      <c r="O232" s="117"/>
      <c r="P232" s="143"/>
      <c r="Q232" s="160">
        <f t="shared" si="52"/>
        <v>100</v>
      </c>
      <c r="R232" s="160"/>
      <c r="Z232" s="116"/>
      <c r="AA232" s="116"/>
      <c r="AB232" s="116"/>
      <c r="AC232" s="116"/>
      <c r="AD232" s="116"/>
      <c r="AE232" s="116"/>
      <c r="AF232" s="116"/>
      <c r="AG232" s="116"/>
      <c r="AH232" s="116"/>
      <c r="AI232" s="116"/>
      <c r="AJ232" s="116"/>
      <c r="AK232" s="116"/>
      <c r="AL232" s="116"/>
      <c r="AM232" s="116"/>
      <c r="AN232" s="116"/>
      <c r="AO232" s="116"/>
    </row>
    <row r="233" spans="1:41" ht="15.75" customHeight="1">
      <c r="A233" s="118" t="s">
        <v>659</v>
      </c>
      <c r="B233" s="111">
        <f>('Pivot Table for Data Exchange'!$O$222)*100</f>
        <v>0</v>
      </c>
      <c r="C233" s="111">
        <f>('Pivot Table for Data Exchange'!$O$225)*100</f>
        <v>0</v>
      </c>
      <c r="D233" s="173">
        <f t="shared" si="59"/>
        <v>0</v>
      </c>
      <c r="E233" s="111">
        <f>('Pivot Table for Data Exchange'!$O$228)*100</f>
        <v>0</v>
      </c>
      <c r="F233" s="111">
        <f>('Pivot Table for Data Exchange'!$O$231)*100</f>
        <v>0</v>
      </c>
      <c r="G233" s="119">
        <f>('Pivot Table for Data Exchange'!$O$234)*100</f>
        <v>0</v>
      </c>
      <c r="H233" s="111">
        <f>('Pivot Table for Data Exchange'!$O$237)*100</f>
        <v>0</v>
      </c>
      <c r="I233" s="117"/>
      <c r="J233" s="117"/>
      <c r="K233" s="117"/>
      <c r="L233" s="117"/>
      <c r="M233" s="117"/>
      <c r="N233" s="117"/>
      <c r="O233" s="117"/>
      <c r="P233" s="143"/>
      <c r="Q233" s="160">
        <f t="shared" si="52"/>
        <v>0</v>
      </c>
      <c r="R233" s="160"/>
      <c r="Z233" s="116"/>
      <c r="AA233" s="116"/>
      <c r="AB233" s="116"/>
      <c r="AC233" s="116"/>
      <c r="AD233" s="116"/>
      <c r="AE233" s="116"/>
      <c r="AF233" s="116"/>
      <c r="AG233" s="116"/>
      <c r="AH233" s="116"/>
      <c r="AI233" s="116"/>
      <c r="AJ233" s="116"/>
      <c r="AK233" s="116"/>
      <c r="AL233" s="116"/>
      <c r="AM233" s="116"/>
      <c r="AN233" s="116"/>
      <c r="AO233" s="116"/>
    </row>
    <row r="234" spans="1:41" ht="15.75" customHeight="1">
      <c r="A234" s="118" t="s">
        <v>700</v>
      </c>
      <c r="B234" s="111">
        <f>('Pivot Table for Data Exchange'!$O$258)*100</f>
        <v>79.914440829313051</v>
      </c>
      <c r="C234" s="111">
        <f>('Pivot Table for Data Exchange'!$O$261)*100</f>
        <v>7.5078716223345427</v>
      </c>
      <c r="D234" s="173">
        <f t="shared" si="59"/>
        <v>12.572407250777307</v>
      </c>
      <c r="E234" s="111">
        <f>('Pivot Table for Data Exchange'!$O$264)*100</f>
        <v>12.25454082653996</v>
      </c>
      <c r="F234" s="120">
        <f>('Pivot Table for Data Exchange'!$O$267)*100</f>
        <v>0.1785189967412138</v>
      </c>
      <c r="G234" s="121">
        <f>('Pivot Table for Data Exchange'!$O$270)*100</f>
        <v>0.13934742749613102</v>
      </c>
      <c r="H234" s="111">
        <f>('Pivot Table for Data Exchange'!$O$273)*100</f>
        <v>5.2802975751019814E-3</v>
      </c>
      <c r="I234" s="117"/>
      <c r="J234" s="117"/>
      <c r="K234" s="117"/>
      <c r="L234" s="117"/>
      <c r="M234" s="117"/>
      <c r="N234" s="117"/>
      <c r="O234" s="117"/>
      <c r="P234" s="143"/>
      <c r="Q234" s="160">
        <f t="shared" si="52"/>
        <v>100</v>
      </c>
      <c r="R234" s="160"/>
      <c r="Z234" s="116"/>
      <c r="AA234" s="116"/>
      <c r="AB234" s="116"/>
      <c r="AC234" s="116"/>
      <c r="AD234" s="116"/>
      <c r="AE234" s="116"/>
      <c r="AF234" s="116"/>
      <c r="AG234" s="116"/>
      <c r="AH234" s="116"/>
      <c r="AI234" s="116"/>
      <c r="AJ234" s="116"/>
      <c r="AK234" s="116"/>
      <c r="AL234" s="116"/>
      <c r="AM234" s="116"/>
      <c r="AN234" s="116"/>
      <c r="AO234" s="116"/>
    </row>
    <row r="235" spans="1:41" ht="15.75" customHeight="1">
      <c r="A235" s="118"/>
      <c r="B235" s="111"/>
      <c r="C235" s="111"/>
      <c r="D235" s="173"/>
      <c r="E235" s="111"/>
      <c r="F235" s="111"/>
      <c r="G235" s="119"/>
      <c r="H235" s="111"/>
      <c r="I235" s="117"/>
      <c r="J235" s="117"/>
      <c r="K235" s="117"/>
      <c r="L235" s="117"/>
      <c r="M235" s="117"/>
      <c r="N235" s="117"/>
      <c r="O235" s="117"/>
      <c r="P235" s="143"/>
      <c r="Q235" s="160">
        <f t="shared" si="52"/>
        <v>0</v>
      </c>
      <c r="R235" s="160"/>
      <c r="Z235" s="116"/>
      <c r="AA235" s="116"/>
      <c r="AB235" s="116"/>
      <c r="AC235" s="116"/>
      <c r="AD235" s="116"/>
      <c r="AE235" s="116"/>
      <c r="AF235" s="116"/>
      <c r="AG235" s="116"/>
      <c r="AH235" s="116"/>
      <c r="AI235" s="116"/>
      <c r="AJ235" s="116"/>
      <c r="AK235" s="116"/>
      <c r="AL235" s="116"/>
      <c r="AM235" s="116"/>
      <c r="AN235" s="116"/>
      <c r="AO235" s="116"/>
    </row>
    <row r="236" spans="1:41" ht="15.75" customHeight="1">
      <c r="A236" s="118" t="s">
        <v>703</v>
      </c>
      <c r="B236" s="111">
        <f>('Pivot Table for Data Exchange'!$O$294)*100</f>
        <v>85.102161568193523</v>
      </c>
      <c r="C236" s="111">
        <f>('Pivot Table for Data Exchange'!$O$297)*100</f>
        <v>0</v>
      </c>
      <c r="D236" s="173">
        <f t="shared" ref="D236:D238" si="60">SUM(E236:G236)</f>
        <v>14.897838431806482</v>
      </c>
      <c r="E236" s="111">
        <f>('Pivot Table for Data Exchange'!$O$300)*100</f>
        <v>14.897838431806482</v>
      </c>
      <c r="F236" s="111">
        <f>('Pivot Table for Data Exchange'!$O$303)*100</f>
        <v>0</v>
      </c>
      <c r="G236" s="119">
        <f>('Pivot Table for Data Exchange'!$O$306)*100</f>
        <v>0</v>
      </c>
      <c r="H236" s="111">
        <f>('Pivot Table for Data Exchange'!$O$309)*100</f>
        <v>0</v>
      </c>
      <c r="I236" s="117"/>
      <c r="J236" s="117"/>
      <c r="K236" s="117"/>
      <c r="L236" s="117"/>
      <c r="M236" s="117"/>
      <c r="N236" s="117"/>
      <c r="O236" s="117"/>
      <c r="P236" s="143"/>
      <c r="Q236" s="160">
        <f t="shared" si="52"/>
        <v>100</v>
      </c>
      <c r="R236" s="160"/>
      <c r="Z236" s="116"/>
      <c r="AA236" s="116"/>
      <c r="AB236" s="116"/>
      <c r="AC236" s="116"/>
      <c r="AD236" s="116"/>
      <c r="AE236" s="116"/>
      <c r="AF236" s="116"/>
      <c r="AG236" s="116"/>
      <c r="AH236" s="116"/>
      <c r="AI236" s="116"/>
      <c r="AJ236" s="116"/>
      <c r="AK236" s="116"/>
      <c r="AL236" s="116"/>
      <c r="AM236" s="116"/>
      <c r="AN236" s="116"/>
      <c r="AO236" s="116"/>
    </row>
    <row r="237" spans="1:41" ht="15.75" customHeight="1">
      <c r="A237" s="118" t="s">
        <v>662</v>
      </c>
      <c r="B237" s="111">
        <f>('Pivot Table for Data Exchange'!$O$330)*100</f>
        <v>73.737923596030868</v>
      </c>
      <c r="C237" s="111">
        <f>('Pivot Table for Data Exchange'!$O$333)*100</f>
        <v>5.1197642878287128</v>
      </c>
      <c r="D237" s="173">
        <f t="shared" si="60"/>
        <v>21.142312116140431</v>
      </c>
      <c r="E237" s="111">
        <f>('Pivot Table for Data Exchange'!$O$336)*100</f>
        <v>20.115352394524912</v>
      </c>
      <c r="F237" s="120">
        <f>('Pivot Table for Data Exchange'!$O$339)*100</f>
        <v>0.62379241032616362</v>
      </c>
      <c r="G237" s="119">
        <f>('Pivot Table for Data Exchange'!$O$342)*100</f>
        <v>0.40316731128935429</v>
      </c>
      <c r="H237" s="111">
        <f>('Pivot Table for Data Exchange'!$O$345)*100</f>
        <v>0</v>
      </c>
      <c r="I237" s="117"/>
      <c r="J237" s="117"/>
      <c r="K237" s="117"/>
      <c r="L237" s="117"/>
      <c r="M237" s="117"/>
      <c r="N237" s="117"/>
      <c r="O237" s="117"/>
      <c r="P237" s="143"/>
      <c r="Q237" s="160">
        <f t="shared" si="52"/>
        <v>100.00000000000001</v>
      </c>
      <c r="R237" s="160"/>
      <c r="Z237" s="116"/>
      <c r="AA237" s="116"/>
      <c r="AB237" s="116"/>
      <c r="AC237" s="116"/>
      <c r="AD237" s="116"/>
      <c r="AE237" s="116"/>
      <c r="AF237" s="116"/>
      <c r="AG237" s="116"/>
      <c r="AH237" s="116"/>
      <c r="AI237" s="116"/>
      <c r="AJ237" s="116"/>
      <c r="AK237" s="116"/>
      <c r="AL237" s="116"/>
      <c r="AM237" s="116"/>
      <c r="AN237" s="116"/>
      <c r="AO237" s="116"/>
    </row>
    <row r="238" spans="1:41" ht="15.75" customHeight="1">
      <c r="A238" s="118" t="s">
        <v>663</v>
      </c>
      <c r="B238" s="111">
        <f>('Pivot Table for Data Exchange'!$O$366)*100</f>
        <v>72.410413202617548</v>
      </c>
      <c r="C238" s="111">
        <f>('Pivot Table for Data Exchange'!$O$369)*100</f>
        <v>7.0061878236716613</v>
      </c>
      <c r="D238" s="173">
        <f t="shared" si="60"/>
        <v>19.707485893614628</v>
      </c>
      <c r="E238" s="111">
        <f>('Pivot Table for Data Exchange'!$O$372)*100</f>
        <v>16.941918284463824</v>
      </c>
      <c r="F238" s="111">
        <f>('Pivot Table for Data Exchange'!$O$375)*100</f>
        <v>2.0246580076114369</v>
      </c>
      <c r="G238" s="119">
        <f>('Pivot Table for Data Exchange'!$O$378)*100</f>
        <v>0.74090960153936813</v>
      </c>
      <c r="H238" s="111">
        <f>('Pivot Table for Data Exchange'!$O$381)*100</f>
        <v>0.87591308009615143</v>
      </c>
      <c r="I238" s="117"/>
      <c r="J238" s="117"/>
      <c r="K238" s="117"/>
      <c r="L238" s="117"/>
      <c r="M238" s="117"/>
      <c r="N238" s="117"/>
      <c r="O238" s="117"/>
      <c r="P238" s="143"/>
      <c r="Q238" s="160">
        <f t="shared" si="52"/>
        <v>100</v>
      </c>
      <c r="R238" s="160"/>
      <c r="Z238" s="116"/>
      <c r="AA238" s="116"/>
      <c r="AB238" s="116"/>
      <c r="AC238" s="116"/>
      <c r="AD238" s="116"/>
      <c r="AE238" s="116"/>
      <c r="AF238" s="116"/>
      <c r="AG238" s="116"/>
      <c r="AH238" s="116"/>
      <c r="AI238" s="116"/>
      <c r="AJ238" s="116"/>
      <c r="AK238" s="116"/>
      <c r="AL238" s="116"/>
      <c r="AM238" s="116"/>
      <c r="AN238" s="116"/>
      <c r="AO238" s="116"/>
    </row>
    <row r="239" spans="1:41" ht="15.75" customHeight="1">
      <c r="A239" s="118" t="s">
        <v>664</v>
      </c>
      <c r="B239" s="111">
        <f>('Pivot Table for Data Exchange'!$O$402)*100</f>
        <v>77.109087696339657</v>
      </c>
      <c r="C239" s="111">
        <f>('Pivot Table for Data Exchange'!$O$405)*100</f>
        <v>5.6386090632030879</v>
      </c>
      <c r="D239" s="173">
        <f>SUM(E239:G239)</f>
        <v>17.252303240457255</v>
      </c>
      <c r="E239" s="111">
        <f>('Pivot Table for Data Exchange'!$O$408)*100</f>
        <v>15.402494112871903</v>
      </c>
      <c r="F239" s="111">
        <f>('Pivot Table for Data Exchange'!$O$411)*100</f>
        <v>1.6735889262508179</v>
      </c>
      <c r="G239" s="119">
        <f>('Pivot Table for Data Exchange'!$O$414)*100</f>
        <v>0.17622020133453234</v>
      </c>
      <c r="H239" s="111">
        <f>('Pivot Table for Data Exchange'!$O$417)*100</f>
        <v>0</v>
      </c>
      <c r="I239" s="117"/>
      <c r="J239" s="117"/>
      <c r="K239" s="117"/>
      <c r="L239" s="117"/>
      <c r="M239" s="117"/>
      <c r="N239" s="117"/>
      <c r="O239" s="117"/>
      <c r="P239" s="143"/>
      <c r="Q239" s="160">
        <f t="shared" si="52"/>
        <v>100</v>
      </c>
      <c r="R239" s="160"/>
      <c r="Z239" s="116"/>
      <c r="AA239" s="116"/>
      <c r="AB239" s="116"/>
      <c r="AC239" s="116"/>
      <c r="AD239" s="116"/>
      <c r="AE239" s="116"/>
      <c r="AF239" s="116"/>
      <c r="AG239" s="116"/>
      <c r="AH239" s="116"/>
      <c r="AI239" s="116"/>
      <c r="AJ239" s="116"/>
      <c r="AK239" s="116"/>
      <c r="AL239" s="116"/>
      <c r="AM239" s="116"/>
      <c r="AN239" s="116"/>
      <c r="AO239" s="116"/>
    </row>
    <row r="240" spans="1:41" ht="10.5" customHeight="1">
      <c r="A240" s="118"/>
      <c r="B240" s="111"/>
      <c r="C240" s="111"/>
      <c r="D240" s="173"/>
      <c r="E240" s="111"/>
      <c r="F240" s="111"/>
      <c r="G240" s="119"/>
      <c r="H240" s="111"/>
      <c r="I240" s="117"/>
      <c r="J240" s="117"/>
      <c r="K240" s="117"/>
      <c r="L240" s="117"/>
      <c r="M240" s="117"/>
      <c r="N240" s="117"/>
      <c r="O240" s="117"/>
      <c r="P240" s="143"/>
      <c r="Q240" s="160">
        <f t="shared" si="52"/>
        <v>0</v>
      </c>
      <c r="R240" s="160"/>
      <c r="Z240" s="116"/>
      <c r="AA240" s="116"/>
      <c r="AB240" s="116"/>
      <c r="AC240" s="116"/>
      <c r="AD240" s="116"/>
      <c r="AE240" s="116"/>
      <c r="AF240" s="116"/>
      <c r="AG240" s="116"/>
      <c r="AH240" s="116"/>
      <c r="AI240" s="116"/>
      <c r="AJ240" s="116"/>
      <c r="AK240" s="116"/>
      <c r="AL240" s="116"/>
      <c r="AM240" s="116"/>
      <c r="AN240" s="116"/>
      <c r="AO240" s="116"/>
    </row>
    <row r="241" spans="1:41" ht="15.75" customHeight="1">
      <c r="A241" s="118" t="s">
        <v>665</v>
      </c>
      <c r="B241" s="111">
        <f>('Pivot Table for Data Exchange'!$O$438)*100</f>
        <v>77.684099048348003</v>
      </c>
      <c r="C241" s="111">
        <f>('Pivot Table for Data Exchange'!$O$441)*100</f>
        <v>1.2902040935276999</v>
      </c>
      <c r="D241" s="173">
        <f>SUM(E241:G241)</f>
        <v>20.851554496881437</v>
      </c>
      <c r="E241" s="111">
        <f>('Pivot Table for Data Exchange'!$O$444)*100</f>
        <v>13.625388823546555</v>
      </c>
      <c r="F241" s="111">
        <f>('Pivot Table for Data Exchange'!$O$447)*100</f>
        <v>2.1764221030480688</v>
      </c>
      <c r="G241" s="119">
        <f>('Pivot Table for Data Exchange'!$O$450)*100</f>
        <v>5.0497435702868154</v>
      </c>
      <c r="H241" s="111">
        <f>('Pivot Table for Data Exchange'!$O$453)*100</f>
        <v>0.17414236124284968</v>
      </c>
      <c r="I241" s="117"/>
      <c r="J241" s="117"/>
      <c r="K241" s="117"/>
      <c r="L241" s="117"/>
      <c r="M241" s="117"/>
      <c r="N241" s="117"/>
      <c r="O241" s="117"/>
      <c r="P241" s="143"/>
      <c r="Q241" s="160">
        <f t="shared" si="52"/>
        <v>99.999999999999986</v>
      </c>
      <c r="R241" s="160"/>
      <c r="Z241" s="116"/>
      <c r="AA241" s="116"/>
      <c r="AB241" s="116"/>
      <c r="AC241" s="116"/>
      <c r="AD241" s="116"/>
      <c r="AE241" s="116"/>
      <c r="AF241" s="116"/>
      <c r="AG241" s="116"/>
      <c r="AH241" s="116"/>
      <c r="AI241" s="116"/>
      <c r="AJ241" s="116"/>
      <c r="AK241" s="116"/>
      <c r="AL241" s="116"/>
      <c r="AM241" s="116"/>
      <c r="AN241" s="116"/>
      <c r="AO241" s="116"/>
    </row>
    <row r="242" spans="1:41" ht="15.75" customHeight="1">
      <c r="A242" s="118" t="s">
        <v>666</v>
      </c>
      <c r="B242" s="111">
        <f>('Pivot Table for Data Exchange'!$O$474)*100</f>
        <v>72.405098008783</v>
      </c>
      <c r="C242" s="111">
        <f>('Pivot Table for Data Exchange'!$O$477)*100</f>
        <v>11.229470989634105</v>
      </c>
      <c r="D242" s="173">
        <f>SUM(E242:G242)</f>
        <v>16.365431001582895</v>
      </c>
      <c r="E242" s="111">
        <f>('Pivot Table for Data Exchange'!$O$480)*100</f>
        <v>15.205845552317948</v>
      </c>
      <c r="F242" s="111">
        <f>('Pivot Table for Data Exchange'!$O$483)*100</f>
        <v>0.57166031842888287</v>
      </c>
      <c r="G242" s="119">
        <f>('Pivot Table for Data Exchange'!$O$486)*100</f>
        <v>0.58792513083606457</v>
      </c>
      <c r="H242" s="111">
        <f>('Pivot Table for Data Exchange'!$O$489)*100</f>
        <v>0</v>
      </c>
      <c r="I242" s="117"/>
      <c r="J242" s="117"/>
      <c r="K242" s="117"/>
      <c r="L242" s="117"/>
      <c r="M242" s="117"/>
      <c r="N242" s="117"/>
      <c r="O242" s="117"/>
      <c r="P242" s="143"/>
      <c r="Q242" s="160">
        <f t="shared" si="52"/>
        <v>100</v>
      </c>
      <c r="R242" s="160"/>
      <c r="Z242" s="116"/>
      <c r="AA242" s="116"/>
      <c r="AB242" s="116"/>
      <c r="AC242" s="116"/>
      <c r="AD242" s="116"/>
      <c r="AE242" s="116"/>
      <c r="AF242" s="116"/>
      <c r="AG242" s="116"/>
      <c r="AH242" s="116"/>
      <c r="AI242" s="116"/>
      <c r="AJ242" s="116"/>
      <c r="AK242" s="116"/>
      <c r="AL242" s="116"/>
      <c r="AM242" s="116"/>
      <c r="AN242" s="116"/>
      <c r="AO242" s="116"/>
    </row>
    <row r="243" spans="1:41" ht="15.75" customHeight="1">
      <c r="A243" s="118" t="s">
        <v>667</v>
      </c>
      <c r="B243" s="111">
        <f>('Pivot Table for Data Exchange'!$O$510)*100</f>
        <v>0</v>
      </c>
      <c r="C243" s="111">
        <f>('Pivot Table for Data Exchange'!$O$513)*100</f>
        <v>0</v>
      </c>
      <c r="D243" s="173">
        <f t="shared" ref="D243" si="61">SUM(E243:G243)</f>
        <v>0</v>
      </c>
      <c r="E243" s="111">
        <f>('Pivot Table for Data Exchange'!$O$516)*100</f>
        <v>0</v>
      </c>
      <c r="F243" s="111">
        <f>('Pivot Table for Data Exchange'!$O$519)*100</f>
        <v>0</v>
      </c>
      <c r="G243" s="119">
        <f>('Pivot Table for Data Exchange'!$O$522)*100</f>
        <v>0</v>
      </c>
      <c r="H243" s="111">
        <f>('Pivot Table for Data Exchange'!$O$525)*100</f>
        <v>0</v>
      </c>
      <c r="I243" s="117"/>
      <c r="J243" s="117"/>
      <c r="K243" s="117"/>
      <c r="L243" s="117"/>
      <c r="M243" s="117"/>
      <c r="N243" s="117"/>
      <c r="O243" s="117"/>
      <c r="P243" s="143"/>
      <c r="Q243" s="160">
        <f t="shared" si="52"/>
        <v>0</v>
      </c>
      <c r="R243" s="160"/>
      <c r="Z243" s="116"/>
      <c r="AA243" s="116"/>
      <c r="AB243" s="116"/>
      <c r="AC243" s="116"/>
      <c r="AD243" s="116"/>
      <c r="AE243" s="116"/>
      <c r="AF243" s="116"/>
      <c r="AG243" s="116"/>
      <c r="AH243" s="116"/>
      <c r="AI243" s="116"/>
      <c r="AJ243" s="116"/>
      <c r="AK243" s="116"/>
      <c r="AL243" s="116"/>
      <c r="AM243" s="116"/>
      <c r="AN243" s="116"/>
      <c r="AO243" s="116"/>
    </row>
    <row r="244" spans="1:41" ht="15.75" customHeight="1">
      <c r="A244" s="91" t="s">
        <v>668</v>
      </c>
      <c r="B244" s="122">
        <f>('Pivot Table for Data Exchange'!$O$546)*100</f>
        <v>66.690029421876275</v>
      </c>
      <c r="C244" s="122">
        <f>('Pivot Table for Data Exchange'!$O$549)*100</f>
        <v>18.224848474488063</v>
      </c>
      <c r="D244" s="174">
        <f>SUM(E244:G244)</f>
        <v>15.068597227999598</v>
      </c>
      <c r="E244" s="122">
        <f>('Pivot Table for Data Exchange'!$O$552)*100</f>
        <v>12.953603087682511</v>
      </c>
      <c r="F244" s="122">
        <f>('Pivot Table for Data Exchange'!$O$555)*100</f>
        <v>1.8215351419524806</v>
      </c>
      <c r="G244" s="124">
        <f>('Pivot Table for Data Exchange'!$O$558)*100</f>
        <v>0.29345899836460715</v>
      </c>
      <c r="H244" s="125">
        <f>('Pivot Table for Data Exchange'!$O$561)*100</f>
        <v>1.6524875636065254E-2</v>
      </c>
      <c r="I244" s="117"/>
      <c r="J244" s="117"/>
      <c r="K244" s="117"/>
      <c r="L244" s="117"/>
      <c r="M244" s="117"/>
      <c r="N244" s="117"/>
      <c r="O244" s="117"/>
      <c r="P244" s="143"/>
      <c r="Q244" s="160">
        <f t="shared" si="52"/>
        <v>100.00000000000001</v>
      </c>
      <c r="R244" s="160"/>
      <c r="Z244" s="116"/>
      <c r="AA244" s="116"/>
      <c r="AB244" s="116"/>
      <c r="AC244" s="116"/>
      <c r="AD244" s="116"/>
      <c r="AE244" s="116"/>
      <c r="AF244" s="116"/>
      <c r="AG244" s="116"/>
      <c r="AH244" s="116"/>
      <c r="AI244" s="116"/>
      <c r="AJ244" s="116"/>
      <c r="AK244" s="116"/>
      <c r="AL244" s="116"/>
      <c r="AM244" s="116"/>
      <c r="AN244" s="116"/>
      <c r="AO244" s="116"/>
    </row>
    <row r="245" spans="1:41" s="60" customFormat="1" ht="18" customHeight="1">
      <c r="A245" s="58" t="s">
        <v>697</v>
      </c>
      <c r="B245" s="126"/>
      <c r="C245" s="126"/>
      <c r="D245" s="127"/>
      <c r="E245" s="126"/>
      <c r="F245" s="127"/>
      <c r="G245" s="127"/>
      <c r="H245" s="126"/>
      <c r="I245" s="58"/>
      <c r="J245" s="126"/>
      <c r="K245" s="126"/>
      <c r="L245" s="127"/>
      <c r="M245" s="126"/>
      <c r="N245" s="127"/>
      <c r="O245" s="127"/>
      <c r="P245" s="126"/>
      <c r="Q245" s="160">
        <f t="shared" si="52"/>
        <v>0</v>
      </c>
      <c r="R245" s="164"/>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row>
    <row r="246" spans="1:41" s="60" customFormat="1" ht="28.5" customHeight="1">
      <c r="A246" s="643" t="s">
        <v>704</v>
      </c>
      <c r="B246" s="655"/>
      <c r="C246" s="655"/>
      <c r="D246" s="655"/>
      <c r="E246" s="655"/>
      <c r="F246" s="655"/>
      <c r="G246" s="655"/>
      <c r="H246" s="655"/>
      <c r="I246" s="58"/>
      <c r="P246" s="136"/>
      <c r="Q246" s="160">
        <f t="shared" si="52"/>
        <v>0</v>
      </c>
      <c r="R246" s="169"/>
    </row>
    <row r="247" spans="1:41" ht="12" customHeight="1">
      <c r="A247" s="118"/>
      <c r="B247" s="145"/>
      <c r="C247" s="145"/>
      <c r="D247" s="146"/>
      <c r="E247" s="145"/>
      <c r="F247" s="146"/>
      <c r="G247" s="146"/>
      <c r="H247" s="145"/>
      <c r="I247" s="118"/>
      <c r="J247" s="145"/>
      <c r="K247" s="145"/>
      <c r="L247" s="146"/>
      <c r="M247" s="145"/>
      <c r="N247" s="146"/>
      <c r="O247" s="146"/>
      <c r="P247" s="145"/>
      <c r="Q247" s="160">
        <f t="shared" si="52"/>
        <v>0</v>
      </c>
      <c r="R247" s="160"/>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row>
    <row r="248" spans="1:41" s="60" customFormat="1">
      <c r="H248" s="64" t="s">
        <v>1034</v>
      </c>
      <c r="I248" s="62"/>
      <c r="J248" s="62"/>
      <c r="K248" s="62"/>
      <c r="L248" s="62"/>
      <c r="M248" s="62"/>
      <c r="N248" s="62"/>
      <c r="O248" s="62"/>
      <c r="P248" s="62"/>
      <c r="Q248" s="160">
        <f t="shared" si="52"/>
        <v>0</v>
      </c>
      <c r="R248" s="168"/>
    </row>
    <row r="249" spans="1:41" ht="18">
      <c r="A249" s="31" t="s">
        <v>1019</v>
      </c>
      <c r="B249" s="86"/>
      <c r="C249" s="86"/>
      <c r="D249" s="86"/>
      <c r="E249" s="86"/>
      <c r="F249" s="86"/>
      <c r="G249" s="86"/>
      <c r="H249" s="87"/>
      <c r="I249" s="141"/>
      <c r="J249" s="118"/>
      <c r="K249" s="118"/>
      <c r="L249" s="118"/>
      <c r="M249" s="118"/>
      <c r="N249" s="118"/>
      <c r="O249" s="118"/>
      <c r="P249" s="118"/>
      <c r="Q249" s="160">
        <f t="shared" si="52"/>
        <v>0</v>
      </c>
    </row>
    <row r="250" spans="1:41">
      <c r="A250" s="37"/>
      <c r="B250" s="38"/>
      <c r="C250" s="38"/>
      <c r="D250" s="38"/>
      <c r="E250" s="38"/>
      <c r="F250" s="38"/>
      <c r="G250" s="38"/>
      <c r="H250" s="88"/>
      <c r="I250" s="141"/>
      <c r="J250" s="118"/>
      <c r="K250" s="118"/>
      <c r="L250" s="118"/>
      <c r="M250" s="118"/>
      <c r="N250" s="118"/>
      <c r="O250" s="118"/>
      <c r="P250" s="118"/>
      <c r="Q250" s="160">
        <f t="shared" si="52"/>
        <v>0</v>
      </c>
    </row>
    <row r="251" spans="1:41" ht="15.75">
      <c r="A251" s="89" t="s">
        <v>683</v>
      </c>
      <c r="B251" s="38"/>
      <c r="C251" s="38"/>
      <c r="D251" s="38"/>
      <c r="E251" s="38"/>
      <c r="F251" s="38"/>
      <c r="G251" s="38"/>
      <c r="H251" s="88"/>
      <c r="I251" s="141"/>
      <c r="J251" s="118"/>
      <c r="K251" s="118"/>
      <c r="L251" s="118"/>
      <c r="M251" s="118"/>
      <c r="N251" s="118"/>
      <c r="O251" s="118"/>
      <c r="P251" s="118"/>
      <c r="Q251" s="160">
        <f t="shared" si="52"/>
        <v>0</v>
      </c>
    </row>
    <row r="252" spans="1:41" ht="15.75">
      <c r="A252" s="89" t="s">
        <v>997</v>
      </c>
      <c r="B252" s="38"/>
      <c r="C252" s="38"/>
      <c r="D252" s="38"/>
      <c r="E252" s="38"/>
      <c r="F252" s="38"/>
      <c r="G252" s="38"/>
      <c r="H252" s="88"/>
      <c r="I252" s="141"/>
      <c r="J252" s="118"/>
      <c r="K252" s="118"/>
      <c r="L252" s="118"/>
      <c r="M252" s="118"/>
      <c r="N252" s="118"/>
      <c r="O252" s="118"/>
      <c r="P252" s="118"/>
      <c r="Q252" s="160">
        <f t="shared" si="52"/>
        <v>0</v>
      </c>
    </row>
    <row r="253" spans="1:41">
      <c r="A253" s="91"/>
      <c r="B253" s="92"/>
      <c r="C253" s="92"/>
      <c r="D253" s="92"/>
      <c r="E253" s="92"/>
      <c r="F253" s="92"/>
      <c r="G253" s="92"/>
      <c r="H253" s="92"/>
      <c r="I253" s="141"/>
      <c r="J253" s="118"/>
      <c r="K253" s="118"/>
      <c r="L253" s="118"/>
      <c r="M253" s="118"/>
      <c r="N253" s="118"/>
      <c r="O253" s="118"/>
      <c r="P253" s="118"/>
      <c r="Q253" s="160">
        <f t="shared" si="52"/>
        <v>0</v>
      </c>
    </row>
    <row r="254" spans="1:41">
      <c r="A254" s="95"/>
      <c r="B254" s="96" t="s">
        <v>685</v>
      </c>
      <c r="C254" s="96"/>
      <c r="D254" s="96"/>
      <c r="E254" s="96"/>
      <c r="F254" s="96"/>
      <c r="G254" s="96"/>
      <c r="H254" s="97"/>
      <c r="I254" s="141"/>
      <c r="J254" s="118"/>
      <c r="K254" s="118"/>
      <c r="L254" s="118"/>
      <c r="M254" s="118"/>
      <c r="N254" s="118"/>
      <c r="O254" s="118"/>
      <c r="P254" s="118"/>
      <c r="Q254" s="160">
        <f t="shared" si="52"/>
        <v>0</v>
      </c>
    </row>
    <row r="255" spans="1:41">
      <c r="A255" s="95"/>
      <c r="B255" s="96" t="s">
        <v>686</v>
      </c>
      <c r="C255" s="96"/>
      <c r="D255" s="647" t="s">
        <v>687</v>
      </c>
      <c r="E255" s="648"/>
      <c r="F255" s="648"/>
      <c r="G255" s="648"/>
      <c r="H255" s="101" t="s">
        <v>59</v>
      </c>
      <c r="I255" s="141"/>
      <c r="J255" s="118"/>
      <c r="K255" s="118"/>
      <c r="L255" s="118"/>
      <c r="M255" s="118"/>
      <c r="N255" s="118"/>
      <c r="O255" s="118"/>
      <c r="P255" s="118"/>
      <c r="Q255" s="160">
        <f t="shared" si="52"/>
        <v>0</v>
      </c>
    </row>
    <row r="256" spans="1:41" ht="36">
      <c r="A256" s="95"/>
      <c r="B256" s="102" t="s">
        <v>688</v>
      </c>
      <c r="C256" s="103" t="s">
        <v>689</v>
      </c>
      <c r="D256" s="104" t="s">
        <v>690</v>
      </c>
      <c r="E256" s="105" t="s">
        <v>9</v>
      </c>
      <c r="F256" s="102" t="s">
        <v>691</v>
      </c>
      <c r="G256" s="106" t="s">
        <v>692</v>
      </c>
      <c r="H256" s="107" t="s">
        <v>693</v>
      </c>
      <c r="I256" s="141"/>
      <c r="J256" s="118"/>
      <c r="K256" s="118"/>
      <c r="L256" s="118"/>
      <c r="M256" s="118"/>
      <c r="N256" s="118"/>
      <c r="O256" s="118"/>
      <c r="P256" s="118"/>
      <c r="Q256" s="160">
        <f t="shared" si="52"/>
        <v>0</v>
      </c>
    </row>
    <row r="257" spans="1:41" ht="15.75" customHeight="1">
      <c r="A257" s="115" t="s">
        <v>653</v>
      </c>
      <c r="B257" s="111">
        <f>('Pivot Table for Data Exchange'!$K$6)*100</f>
        <v>0</v>
      </c>
      <c r="C257" s="111">
        <f>('Pivot Table for Data Exchange'!$K$9)*100</f>
        <v>0</v>
      </c>
      <c r="D257" s="173">
        <f>SUM(E257:G257)</f>
        <v>0</v>
      </c>
      <c r="E257" s="111">
        <f>('Pivot Table for Data Exchange'!$K$12)*100</f>
        <v>0</v>
      </c>
      <c r="F257" s="111">
        <f>('Pivot Table for Data Exchange'!$K$15)*100</f>
        <v>0</v>
      </c>
      <c r="G257" s="113">
        <f>('Pivot Table for Data Exchange'!$K$18)*100</f>
        <v>0</v>
      </c>
      <c r="H257" s="120">
        <f>('Pivot Table for Data Exchange'!$K$21)*100</f>
        <v>0</v>
      </c>
      <c r="I257" s="118"/>
      <c r="J257" s="143"/>
      <c r="K257" s="143"/>
      <c r="L257" s="143"/>
      <c r="M257" s="143"/>
      <c r="N257" s="143"/>
      <c r="O257" s="143"/>
      <c r="P257" s="143"/>
      <c r="Q257" s="160">
        <f t="shared" si="52"/>
        <v>0</v>
      </c>
      <c r="R257" s="160"/>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row>
    <row r="258" spans="1:41" ht="15.75" customHeight="1">
      <c r="A258" s="118" t="s">
        <v>654</v>
      </c>
      <c r="B258" s="111">
        <f>('Pivot Table for Data Exchange'!$K$42)*100</f>
        <v>0</v>
      </c>
      <c r="C258" s="111">
        <f>('Pivot Table for Data Exchange'!$K$45)*100</f>
        <v>0</v>
      </c>
      <c r="D258" s="173">
        <f t="shared" ref="D258:D260" si="62">SUM(E258:G258)</f>
        <v>0</v>
      </c>
      <c r="E258" s="111">
        <f>('Pivot Table for Data Exchange'!$K$48)*100</f>
        <v>0</v>
      </c>
      <c r="F258" s="111">
        <f>('Pivot Table for Data Exchange'!$K$51)*100</f>
        <v>0</v>
      </c>
      <c r="G258" s="119">
        <f>('Pivot Table for Data Exchange'!$K$54)*100</f>
        <v>0</v>
      </c>
      <c r="H258" s="111">
        <f>('Pivot Table for Data Exchange'!$K$57)*100</f>
        <v>0</v>
      </c>
      <c r="I258" s="118"/>
      <c r="J258" s="143"/>
      <c r="K258" s="143"/>
      <c r="L258" s="143"/>
      <c r="M258" s="143"/>
      <c r="N258" s="143"/>
      <c r="O258" s="143"/>
      <c r="P258" s="143"/>
      <c r="Q258" s="160">
        <f t="shared" si="52"/>
        <v>0</v>
      </c>
      <c r="R258" s="160"/>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row>
    <row r="259" spans="1:41" ht="15.75" customHeight="1">
      <c r="A259" s="118" t="s">
        <v>655</v>
      </c>
      <c r="B259" s="111">
        <f>('Pivot Table for Data Exchange'!$K$78)*100</f>
        <v>0</v>
      </c>
      <c r="C259" s="111">
        <f>('Pivot Table for Data Exchange'!$K$81)*100</f>
        <v>0</v>
      </c>
      <c r="D259" s="173">
        <f t="shared" si="62"/>
        <v>0</v>
      </c>
      <c r="E259" s="111">
        <f>('Pivot Table for Data Exchange'!$K$84)*100</f>
        <v>0</v>
      </c>
      <c r="F259" s="111">
        <f>('Pivot Table for Data Exchange'!$K$87)*100</f>
        <v>0</v>
      </c>
      <c r="G259" s="119">
        <f>('Pivot Table for Data Exchange'!$K$90)*100</f>
        <v>0</v>
      </c>
      <c r="H259" s="111">
        <f>('Pivot Table for Data Exchange'!$K$93)*100</f>
        <v>0</v>
      </c>
      <c r="I259" s="118"/>
      <c r="J259" s="143"/>
      <c r="K259" s="143"/>
      <c r="L259" s="143"/>
      <c r="M259" s="143"/>
      <c r="N259" s="143"/>
      <c r="O259" s="143"/>
      <c r="P259" s="143"/>
      <c r="Q259" s="160">
        <f t="shared" si="52"/>
        <v>0</v>
      </c>
      <c r="R259" s="160"/>
      <c r="S259" s="116"/>
      <c r="T259" s="132"/>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row>
    <row r="260" spans="1:41" ht="15.75" customHeight="1">
      <c r="A260" s="118" t="s">
        <v>695</v>
      </c>
      <c r="B260" s="111">
        <f>('Pivot Table for Data Exchange'!$K$114)*100</f>
        <v>80.472469340295291</v>
      </c>
      <c r="C260" s="111">
        <f>('Pivot Table for Data Exchange'!$K$117)*100</f>
        <v>1.983385346964744</v>
      </c>
      <c r="D260" s="173">
        <f t="shared" si="62"/>
        <v>16.824581514227418</v>
      </c>
      <c r="E260" s="111">
        <f>('Pivot Table for Data Exchange'!$K$120)*100</f>
        <v>12.165156534520962</v>
      </c>
      <c r="F260" s="111">
        <f>('Pivot Table for Data Exchange'!$K$123)*100</f>
        <v>7.9700149184967428E-2</v>
      </c>
      <c r="G260" s="119">
        <f>('Pivot Table for Data Exchange'!$K$126)*100</f>
        <v>4.5797248305214895</v>
      </c>
      <c r="H260" s="111">
        <f>('Pivot Table for Data Exchange'!$K$129)*100</f>
        <v>0.71956379851253804</v>
      </c>
      <c r="I260" s="118"/>
      <c r="J260" s="143"/>
      <c r="K260" s="143"/>
      <c r="L260" s="143"/>
      <c r="M260" s="143"/>
      <c r="N260" s="143"/>
      <c r="O260" s="143"/>
      <c r="P260" s="143"/>
      <c r="Q260" s="160">
        <f t="shared" si="52"/>
        <v>99.999999999999986</v>
      </c>
      <c r="R260" s="160"/>
      <c r="S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row>
    <row r="261" spans="1:41" ht="15.75" customHeight="1">
      <c r="A261" s="118"/>
      <c r="B261" s="111"/>
      <c r="C261" s="111"/>
      <c r="D261" s="173"/>
      <c r="E261" s="111"/>
      <c r="F261" s="111"/>
      <c r="G261" s="119"/>
      <c r="H261" s="111"/>
      <c r="I261" s="118"/>
      <c r="J261" s="143"/>
      <c r="K261" s="143"/>
      <c r="L261" s="143"/>
      <c r="M261" s="143"/>
      <c r="N261" s="143"/>
      <c r="O261" s="143"/>
      <c r="P261" s="143"/>
      <c r="Q261" s="160">
        <f t="shared" si="52"/>
        <v>0</v>
      </c>
      <c r="R261" s="160"/>
      <c r="S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row>
    <row r="262" spans="1:41" ht="15.75" customHeight="1">
      <c r="A262" s="118" t="s">
        <v>657</v>
      </c>
      <c r="B262" s="111">
        <f>('Pivot Table for Data Exchange'!$K$150)*100</f>
        <v>0</v>
      </c>
      <c r="C262" s="111">
        <f>('Pivot Table for Data Exchange'!$K$153)*100</f>
        <v>0</v>
      </c>
      <c r="D262" s="173">
        <f t="shared" ref="D262:D265" si="63">SUM(E262:G262)</f>
        <v>0</v>
      </c>
      <c r="E262" s="111">
        <f>('Pivot Table for Data Exchange'!$K$156)*100</f>
        <v>0</v>
      </c>
      <c r="F262" s="111">
        <f>('Pivot Table for Data Exchange'!$K$159)*100</f>
        <v>0</v>
      </c>
      <c r="G262" s="119">
        <f>('Pivot Table for Data Exchange'!$K$162)*100</f>
        <v>0</v>
      </c>
      <c r="H262" s="120">
        <f>('Pivot Table for Data Exchange'!$K$165)*100</f>
        <v>0</v>
      </c>
      <c r="I262" s="118"/>
      <c r="J262" s="143"/>
      <c r="K262" s="143"/>
      <c r="L262" s="143"/>
      <c r="M262" s="143"/>
      <c r="N262" s="143"/>
      <c r="O262" s="143"/>
      <c r="P262" s="143"/>
      <c r="Q262" s="160">
        <f t="shared" si="52"/>
        <v>0</v>
      </c>
      <c r="R262" s="160"/>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row>
    <row r="263" spans="1:41" ht="15.75" customHeight="1">
      <c r="A263" s="118" t="s">
        <v>658</v>
      </c>
      <c r="B263" s="111">
        <f>('Pivot Table for Data Exchange'!$K$186)*100</f>
        <v>0</v>
      </c>
      <c r="C263" s="111">
        <f>('Pivot Table for Data Exchange'!$K$189)*100</f>
        <v>0</v>
      </c>
      <c r="D263" s="173">
        <f t="shared" si="63"/>
        <v>0</v>
      </c>
      <c r="E263" s="111">
        <f>('Pivot Table for Data Exchange'!$K$192)*100</f>
        <v>0</v>
      </c>
      <c r="F263" s="111">
        <f>('Pivot Table for Data Exchange'!$K$195)*100</f>
        <v>0</v>
      </c>
      <c r="G263" s="119">
        <f>('Pivot Table for Data Exchange'!$K$198)*100</f>
        <v>0</v>
      </c>
      <c r="H263" s="111">
        <f>('Pivot Table for Data Exchange'!$K$201)*100</f>
        <v>0</v>
      </c>
      <c r="I263" s="118"/>
      <c r="J263" s="143"/>
      <c r="K263" s="143"/>
      <c r="L263" s="143"/>
      <c r="M263" s="143"/>
      <c r="N263" s="143"/>
      <c r="O263" s="143"/>
      <c r="P263" s="143"/>
      <c r="Q263" s="160">
        <f t="shared" si="52"/>
        <v>0</v>
      </c>
      <c r="R263" s="160"/>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row>
    <row r="264" spans="1:41" ht="15.75" customHeight="1">
      <c r="A264" s="118" t="s">
        <v>659</v>
      </c>
      <c r="B264" s="111">
        <f>('Pivot Table for Data Exchange'!$K$222)*100</f>
        <v>0</v>
      </c>
      <c r="C264" s="111">
        <f>('Pivot Table for Data Exchange'!$K$225)*100</f>
        <v>0</v>
      </c>
      <c r="D264" s="173">
        <f t="shared" si="63"/>
        <v>0</v>
      </c>
      <c r="E264" s="111">
        <f>('Pivot Table for Data Exchange'!$K$228)*100</f>
        <v>0</v>
      </c>
      <c r="F264" s="111">
        <f>('Pivot Table for Data Exchange'!$K$231)*100</f>
        <v>0</v>
      </c>
      <c r="G264" s="119">
        <f>('Pivot Table for Data Exchange'!$K$234)*100</f>
        <v>0</v>
      </c>
      <c r="H264" s="111">
        <f>('Pivot Table for Data Exchange'!$K$237)*100</f>
        <v>0</v>
      </c>
      <c r="I264" s="118"/>
      <c r="J264" s="143"/>
      <c r="K264" s="143"/>
      <c r="L264" s="143"/>
      <c r="M264" s="143"/>
      <c r="N264" s="143"/>
      <c r="O264" s="143"/>
      <c r="P264" s="143"/>
      <c r="Q264" s="160">
        <f t="shared" si="52"/>
        <v>0</v>
      </c>
      <c r="R264" s="160"/>
      <c r="S264" s="116"/>
      <c r="T264" s="132"/>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row>
    <row r="265" spans="1:41" ht="15.75" customHeight="1">
      <c r="A265" s="118" t="s">
        <v>700</v>
      </c>
      <c r="B265" s="111">
        <f>('Pivot Table for Data Exchange'!$K$258)*100</f>
        <v>0</v>
      </c>
      <c r="C265" s="111">
        <f>('Pivot Table for Data Exchange'!$K$261)*100</f>
        <v>0</v>
      </c>
      <c r="D265" s="173">
        <f t="shared" si="63"/>
        <v>0</v>
      </c>
      <c r="E265" s="111">
        <f>('Pivot Table for Data Exchange'!$K$264)*100</f>
        <v>0</v>
      </c>
      <c r="F265" s="120">
        <f>('Pivot Table for Data Exchange'!$K$267)*100</f>
        <v>0</v>
      </c>
      <c r="G265" s="121">
        <f>('Pivot Table for Data Exchange'!$K$270)*100</f>
        <v>0</v>
      </c>
      <c r="H265" s="111">
        <f>('Pivot Table for Data Exchange'!$K$273)*100</f>
        <v>0</v>
      </c>
      <c r="I265" s="118"/>
      <c r="J265" s="143"/>
      <c r="K265" s="143"/>
      <c r="L265" s="143"/>
      <c r="M265" s="143"/>
      <c r="N265" s="143"/>
      <c r="O265" s="143"/>
      <c r="P265" s="143"/>
      <c r="Q265" s="160">
        <f t="shared" si="52"/>
        <v>0</v>
      </c>
      <c r="R265" s="160"/>
      <c r="S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row>
    <row r="266" spans="1:41" ht="15.75" customHeight="1">
      <c r="A266" s="118"/>
      <c r="B266" s="111"/>
      <c r="C266" s="111"/>
      <c r="D266" s="173"/>
      <c r="E266" s="111"/>
      <c r="F266" s="111"/>
      <c r="G266" s="119"/>
      <c r="H266" s="111"/>
      <c r="I266" s="118"/>
      <c r="J266" s="143"/>
      <c r="K266" s="143"/>
      <c r="L266" s="143"/>
      <c r="M266" s="143"/>
      <c r="N266" s="143"/>
      <c r="O266" s="143"/>
      <c r="P266" s="143"/>
      <c r="Q266" s="160">
        <f t="shared" si="52"/>
        <v>0</v>
      </c>
      <c r="R266" s="160"/>
      <c r="S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row>
    <row r="267" spans="1:41" ht="15.75" customHeight="1">
      <c r="A267" s="118" t="s">
        <v>703</v>
      </c>
      <c r="B267" s="111">
        <f>('Pivot Table for Data Exchange'!$K$294)*100</f>
        <v>0</v>
      </c>
      <c r="C267" s="111">
        <f>('Pivot Table for Data Exchange'!$K$297)*100</f>
        <v>0</v>
      </c>
      <c r="D267" s="173">
        <f t="shared" ref="D267:D269" si="64">SUM(E267:G267)</f>
        <v>0</v>
      </c>
      <c r="E267" s="111">
        <f>('Pivot Table for Data Exchange'!$K$300)*100</f>
        <v>0</v>
      </c>
      <c r="F267" s="111">
        <f>('Pivot Table for Data Exchange'!$K$303)*100</f>
        <v>0</v>
      </c>
      <c r="G267" s="119">
        <f>('Pivot Table for Data Exchange'!$K$306)*100</f>
        <v>0</v>
      </c>
      <c r="H267" s="111">
        <f>('Pivot Table for Data Exchange'!$K$309)*100</f>
        <v>0</v>
      </c>
      <c r="I267" s="118"/>
      <c r="J267" s="143"/>
      <c r="K267" s="143"/>
      <c r="L267" s="143"/>
      <c r="M267" s="143"/>
      <c r="N267" s="143"/>
      <c r="O267" s="143"/>
      <c r="P267" s="143"/>
      <c r="Q267" s="160">
        <f t="shared" ref="Q267:Q330" si="65">SUM(B267,C267,D267,H267)</f>
        <v>0</v>
      </c>
      <c r="R267" s="160"/>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row>
    <row r="268" spans="1:41" ht="15.75" customHeight="1">
      <c r="A268" s="118" t="s">
        <v>662</v>
      </c>
      <c r="B268" s="111">
        <f>('Pivot Table for Data Exchange'!$K$330)*100</f>
        <v>0</v>
      </c>
      <c r="C268" s="111">
        <f>('Pivot Table for Data Exchange'!$K$333)*100</f>
        <v>0</v>
      </c>
      <c r="D268" s="173">
        <f t="shared" si="64"/>
        <v>0</v>
      </c>
      <c r="E268" s="111">
        <f>('Pivot Table for Data Exchange'!$K$336)*100</f>
        <v>0</v>
      </c>
      <c r="F268" s="120">
        <f>('Pivot Table for Data Exchange'!$K$339)*100</f>
        <v>0</v>
      </c>
      <c r="G268" s="119">
        <f>('Pivot Table for Data Exchange'!$K$342)*100</f>
        <v>0</v>
      </c>
      <c r="H268" s="111">
        <f>('Pivot Table for Data Exchange'!$K$345)*100</f>
        <v>0</v>
      </c>
      <c r="I268" s="118"/>
      <c r="J268" s="143"/>
      <c r="K268" s="143"/>
      <c r="L268" s="143"/>
      <c r="M268" s="143"/>
      <c r="N268" s="143"/>
      <c r="O268" s="143"/>
      <c r="P268" s="143"/>
      <c r="Q268" s="160">
        <f t="shared" si="65"/>
        <v>0</v>
      </c>
      <c r="R268" s="160"/>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row>
    <row r="269" spans="1:41" ht="15.75" customHeight="1">
      <c r="A269" s="118" t="s">
        <v>663</v>
      </c>
      <c r="B269" s="111">
        <f>('Pivot Table for Data Exchange'!$K$366)*100</f>
        <v>78.893860530240772</v>
      </c>
      <c r="C269" s="111">
        <f>('Pivot Table for Data Exchange'!$K$369)*100</f>
        <v>21.106139469759231</v>
      </c>
      <c r="D269" s="173">
        <f t="shared" si="64"/>
        <v>0</v>
      </c>
      <c r="E269" s="111">
        <f>('Pivot Table for Data Exchange'!$K$372)*100</f>
        <v>0</v>
      </c>
      <c r="F269" s="111">
        <f>('Pivot Table for Data Exchange'!$K$375)*100</f>
        <v>0</v>
      </c>
      <c r="G269" s="119">
        <f>('Pivot Table for Data Exchange'!$K$378)*100</f>
        <v>0</v>
      </c>
      <c r="H269" s="111">
        <f>('Pivot Table for Data Exchange'!$K$381)*100</f>
        <v>0</v>
      </c>
      <c r="I269" s="118"/>
      <c r="J269" s="143"/>
      <c r="K269" s="143"/>
      <c r="L269" s="143"/>
      <c r="M269" s="143"/>
      <c r="N269" s="143"/>
      <c r="O269" s="143"/>
      <c r="P269" s="143"/>
      <c r="Q269" s="160">
        <f t="shared" si="65"/>
        <v>100</v>
      </c>
      <c r="R269" s="160"/>
      <c r="S269" s="116"/>
      <c r="T269" s="132"/>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row>
    <row r="270" spans="1:41" ht="15.75" customHeight="1">
      <c r="A270" s="118" t="s">
        <v>664</v>
      </c>
      <c r="B270" s="111">
        <f>('Pivot Table for Data Exchange'!$K$402)*100</f>
        <v>0</v>
      </c>
      <c r="C270" s="111">
        <f>('Pivot Table for Data Exchange'!$K$405)*100</f>
        <v>0</v>
      </c>
      <c r="D270" s="173">
        <f>SUM(E270:G270)</f>
        <v>0</v>
      </c>
      <c r="E270" s="111">
        <f>('Pivot Table for Data Exchange'!$K$408)*100</f>
        <v>0</v>
      </c>
      <c r="F270" s="111">
        <f>('Pivot Table for Data Exchange'!$K$411)*100</f>
        <v>0</v>
      </c>
      <c r="G270" s="119">
        <f>('Pivot Table for Data Exchange'!$K$414)*100</f>
        <v>0</v>
      </c>
      <c r="H270" s="111">
        <f>('Pivot Table for Data Exchange'!$K$417)*100</f>
        <v>0</v>
      </c>
      <c r="I270" s="118"/>
      <c r="J270" s="143"/>
      <c r="K270" s="143"/>
      <c r="L270" s="143"/>
      <c r="M270" s="143"/>
      <c r="N270" s="143"/>
      <c r="O270" s="143"/>
      <c r="P270" s="143"/>
      <c r="Q270" s="160">
        <f t="shared" si="65"/>
        <v>0</v>
      </c>
      <c r="R270" s="160"/>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row>
    <row r="271" spans="1:41" ht="15.75" customHeight="1">
      <c r="A271" s="118"/>
      <c r="B271" s="111"/>
      <c r="C271" s="111"/>
      <c r="D271" s="173"/>
      <c r="E271" s="111"/>
      <c r="F271" s="111"/>
      <c r="G271" s="119"/>
      <c r="H271" s="111"/>
      <c r="I271" s="118"/>
      <c r="J271" s="143"/>
      <c r="K271" s="143"/>
      <c r="L271" s="143"/>
      <c r="M271" s="143"/>
      <c r="N271" s="143"/>
      <c r="O271" s="143"/>
      <c r="P271" s="143"/>
      <c r="Q271" s="160">
        <f t="shared" si="65"/>
        <v>0</v>
      </c>
      <c r="R271" s="160"/>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row>
    <row r="272" spans="1:41" ht="15.75" customHeight="1">
      <c r="A272" s="118" t="s">
        <v>665</v>
      </c>
      <c r="B272" s="111">
        <f>('Pivot Table for Data Exchange'!$K$438)*100</f>
        <v>0</v>
      </c>
      <c r="C272" s="111">
        <f>('Pivot Table for Data Exchange'!$K$441)*100</f>
        <v>0</v>
      </c>
      <c r="D272" s="173">
        <f>SUM(E272:G272)</f>
        <v>0</v>
      </c>
      <c r="E272" s="111">
        <f>('Pivot Table for Data Exchange'!$K$444)*100</f>
        <v>0</v>
      </c>
      <c r="F272" s="111">
        <f>('Pivot Table for Data Exchange'!$K$447)*100</f>
        <v>0</v>
      </c>
      <c r="G272" s="119">
        <f>('Pivot Table for Data Exchange'!$K$450)*100</f>
        <v>0</v>
      </c>
      <c r="H272" s="111">
        <f>('Pivot Table for Data Exchange'!$K$453)*100</f>
        <v>0</v>
      </c>
      <c r="I272" s="118"/>
      <c r="J272" s="143"/>
      <c r="K272" s="143"/>
      <c r="L272" s="143"/>
      <c r="M272" s="143"/>
      <c r="N272" s="143"/>
      <c r="O272" s="143"/>
      <c r="P272" s="143"/>
      <c r="Q272" s="160">
        <f t="shared" si="65"/>
        <v>0</v>
      </c>
      <c r="R272" s="160"/>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row>
    <row r="273" spans="1:41" ht="15.75" customHeight="1">
      <c r="A273" s="118" t="s">
        <v>666</v>
      </c>
      <c r="B273" s="111">
        <f>('Pivot Table for Data Exchange'!$K$474)*100</f>
        <v>83.697890060217645</v>
      </c>
      <c r="C273" s="111">
        <f>('Pivot Table for Data Exchange'!$K$477)*100</f>
        <v>1.1176643601294138</v>
      </c>
      <c r="D273" s="173">
        <f>SUM(E273:G273)</f>
        <v>15.184445579652936</v>
      </c>
      <c r="E273" s="111">
        <f>('Pivot Table for Data Exchange'!$K$480)*100</f>
        <v>14.880880508986207</v>
      </c>
      <c r="F273" s="111">
        <f>('Pivot Table for Data Exchange'!$K$483)*100</f>
        <v>0.28034489697982945</v>
      </c>
      <c r="G273" s="119">
        <f>('Pivot Table for Data Exchange'!$K$486)*100</f>
        <v>2.322017368689918E-2</v>
      </c>
      <c r="H273" s="111">
        <f>('Pivot Table for Data Exchange'!$K$489)*100</f>
        <v>0</v>
      </c>
      <c r="I273" s="118"/>
      <c r="J273" s="143"/>
      <c r="K273" s="143"/>
      <c r="L273" s="143"/>
      <c r="M273" s="143"/>
      <c r="N273" s="143"/>
      <c r="O273" s="143"/>
      <c r="P273" s="143"/>
      <c r="Q273" s="160">
        <f t="shared" si="65"/>
        <v>99.999999999999986</v>
      </c>
      <c r="R273" s="160"/>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row>
    <row r="274" spans="1:41" ht="15.75" customHeight="1">
      <c r="A274" s="118" t="s">
        <v>667</v>
      </c>
      <c r="B274" s="111">
        <f>('Pivot Table for Data Exchange'!$K$510)*100</f>
        <v>0</v>
      </c>
      <c r="C274" s="111">
        <f>('Pivot Table for Data Exchange'!$K$513)*100</f>
        <v>0</v>
      </c>
      <c r="D274" s="173">
        <f t="shared" ref="D274" si="66">SUM(E274:G274)</f>
        <v>0</v>
      </c>
      <c r="E274" s="111">
        <f>('Pivot Table for Data Exchange'!$K$516)*100</f>
        <v>0</v>
      </c>
      <c r="F274" s="111">
        <f>('Pivot Table for Data Exchange'!$K$519)*100</f>
        <v>0</v>
      </c>
      <c r="G274" s="119">
        <f>('Pivot Table for Data Exchange'!$K$522)*100</f>
        <v>0</v>
      </c>
      <c r="H274" s="111">
        <f>('Pivot Table for Data Exchange'!$K$525)*100</f>
        <v>0</v>
      </c>
      <c r="I274" s="118"/>
      <c r="J274" s="143"/>
      <c r="K274" s="143"/>
      <c r="L274" s="143"/>
      <c r="M274" s="143"/>
      <c r="N274" s="143"/>
      <c r="O274" s="143"/>
      <c r="P274" s="143"/>
      <c r="Q274" s="160">
        <f t="shared" si="65"/>
        <v>0</v>
      </c>
      <c r="R274" s="160"/>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row>
    <row r="275" spans="1:41" ht="15.75" customHeight="1">
      <c r="A275" s="91" t="s">
        <v>668</v>
      </c>
      <c r="B275" s="122">
        <f>('Pivot Table for Data Exchange'!$K$546)*100</f>
        <v>70.367276930534331</v>
      </c>
      <c r="C275" s="122">
        <f>('Pivot Table for Data Exchange'!$K$549)*100</f>
        <v>13.32040717401842</v>
      </c>
      <c r="D275" s="174">
        <f>SUM(E275:G275)</f>
        <v>16.312315895447256</v>
      </c>
      <c r="E275" s="122">
        <f>('Pivot Table for Data Exchange'!$K$552)*100</f>
        <v>15.283194749990678</v>
      </c>
      <c r="F275" s="122">
        <f>('Pivot Table for Data Exchange'!$K$555)*100</f>
        <v>0</v>
      </c>
      <c r="G275" s="124">
        <f>('Pivot Table for Data Exchange'!$K$558)*100</f>
        <v>1.0291211454565792</v>
      </c>
      <c r="H275" s="125">
        <f>('Pivot Table for Data Exchange'!$K$561)*100</f>
        <v>0</v>
      </c>
      <c r="I275" s="118"/>
      <c r="J275" s="143"/>
      <c r="K275" s="143"/>
      <c r="L275" s="143"/>
      <c r="M275" s="143"/>
      <c r="N275" s="143"/>
      <c r="O275" s="143"/>
      <c r="P275" s="143"/>
      <c r="Q275" s="160">
        <f t="shared" si="65"/>
        <v>100</v>
      </c>
      <c r="R275" s="160"/>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row>
    <row r="276" spans="1:41" s="60" customFormat="1" ht="18" customHeight="1">
      <c r="A276" s="58" t="s">
        <v>697</v>
      </c>
      <c r="B276" s="126"/>
      <c r="C276" s="126"/>
      <c r="D276" s="127"/>
      <c r="E276" s="126"/>
      <c r="F276" s="127"/>
      <c r="G276" s="127"/>
      <c r="H276" s="126"/>
      <c r="I276" s="58"/>
      <c r="J276" s="126"/>
      <c r="K276" s="126"/>
      <c r="L276" s="127"/>
      <c r="M276" s="126"/>
      <c r="N276" s="127"/>
      <c r="O276" s="127"/>
      <c r="P276" s="126"/>
      <c r="Q276" s="160">
        <f t="shared" si="65"/>
        <v>0</v>
      </c>
      <c r="R276" s="164"/>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row>
    <row r="277" spans="1:41" s="60" customFormat="1" ht="27" customHeight="1">
      <c r="A277" s="643" t="s">
        <v>704</v>
      </c>
      <c r="B277" s="655"/>
      <c r="C277" s="655"/>
      <c r="D277" s="655"/>
      <c r="E277" s="655"/>
      <c r="F277" s="655"/>
      <c r="G277" s="655"/>
      <c r="H277" s="655"/>
      <c r="I277" s="58"/>
      <c r="P277" s="136"/>
      <c r="Q277" s="160">
        <f t="shared" si="65"/>
        <v>0</v>
      </c>
      <c r="R277" s="169"/>
    </row>
    <row r="278" spans="1:41" s="60" customFormat="1" ht="13.5" customHeight="1">
      <c r="H278" s="62"/>
      <c r="I278" s="134"/>
      <c r="Q278" s="160">
        <f t="shared" si="65"/>
        <v>0</v>
      </c>
      <c r="R278" s="169"/>
    </row>
    <row r="279" spans="1:41" s="60" customFormat="1">
      <c r="A279" s="62"/>
      <c r="B279" s="126"/>
      <c r="C279" s="126"/>
      <c r="D279" s="127"/>
      <c r="E279" s="126"/>
      <c r="F279" s="127"/>
      <c r="G279" s="127"/>
      <c r="H279" s="64" t="s">
        <v>1034</v>
      </c>
      <c r="I279" s="147"/>
      <c r="J279" s="62"/>
      <c r="K279" s="62"/>
      <c r="L279" s="62"/>
      <c r="M279" s="62"/>
      <c r="N279" s="62"/>
      <c r="O279" s="62"/>
      <c r="P279" s="62"/>
      <c r="Q279" s="160">
        <f t="shared" si="65"/>
        <v>0</v>
      </c>
      <c r="R279" s="169"/>
    </row>
    <row r="280" spans="1:41" ht="18">
      <c r="A280" s="31" t="s">
        <v>1020</v>
      </c>
      <c r="B280" s="86"/>
      <c r="C280" s="86"/>
      <c r="D280" s="86"/>
      <c r="E280" s="86"/>
      <c r="F280" s="86"/>
      <c r="G280" s="86"/>
      <c r="H280" s="87"/>
      <c r="I280" s="141"/>
      <c r="J280" s="118"/>
      <c r="K280" s="118"/>
      <c r="L280" s="118"/>
      <c r="M280" s="118"/>
      <c r="N280" s="118"/>
      <c r="O280" s="118"/>
      <c r="P280" s="118"/>
      <c r="Q280" s="160">
        <f t="shared" si="65"/>
        <v>0</v>
      </c>
    </row>
    <row r="281" spans="1:41">
      <c r="A281" s="37"/>
      <c r="B281" s="38"/>
      <c r="C281" s="38"/>
      <c r="D281" s="38"/>
      <c r="E281" s="38"/>
      <c r="F281" s="38"/>
      <c r="G281" s="38"/>
      <c r="H281" s="88"/>
      <c r="I281" s="141"/>
      <c r="J281" s="118"/>
      <c r="K281" s="118"/>
      <c r="L281" s="118"/>
      <c r="M281" s="118"/>
      <c r="N281" s="118"/>
      <c r="O281" s="118"/>
      <c r="P281" s="118"/>
      <c r="Q281" s="160">
        <f t="shared" si="65"/>
        <v>0</v>
      </c>
    </row>
    <row r="282" spans="1:41" ht="15.75">
      <c r="A282" s="89" t="s">
        <v>683</v>
      </c>
      <c r="B282" s="38"/>
      <c r="C282" s="38"/>
      <c r="D282" s="38"/>
      <c r="E282" s="38"/>
      <c r="F282" s="38"/>
      <c r="G282" s="38"/>
      <c r="H282" s="88"/>
      <c r="I282" s="141"/>
      <c r="J282" s="118"/>
      <c r="K282" s="118"/>
      <c r="L282" s="118"/>
      <c r="M282" s="118"/>
      <c r="N282" s="118"/>
      <c r="O282" s="118"/>
      <c r="P282" s="118"/>
      <c r="Q282" s="160">
        <f t="shared" si="65"/>
        <v>0</v>
      </c>
    </row>
    <row r="283" spans="1:41" ht="15.75">
      <c r="A283" s="89" t="s">
        <v>998</v>
      </c>
      <c r="B283" s="38"/>
      <c r="C283" s="38"/>
      <c r="D283" s="38"/>
      <c r="E283" s="38"/>
      <c r="F283" s="38"/>
      <c r="G283" s="38"/>
      <c r="H283" s="88"/>
      <c r="I283" s="141"/>
      <c r="J283" s="118"/>
      <c r="K283" s="118"/>
      <c r="L283" s="118"/>
      <c r="M283" s="118"/>
      <c r="N283" s="118"/>
      <c r="O283" s="118"/>
      <c r="P283" s="118"/>
      <c r="Q283" s="160">
        <f t="shared" si="65"/>
        <v>0</v>
      </c>
    </row>
    <row r="284" spans="1:41">
      <c r="A284" s="91"/>
      <c r="B284" s="92"/>
      <c r="C284" s="92"/>
      <c r="D284" s="92"/>
      <c r="E284" s="92"/>
      <c r="F284" s="92"/>
      <c r="G284" s="92"/>
      <c r="H284" s="92"/>
      <c r="I284" s="141"/>
      <c r="J284" s="118"/>
      <c r="K284" s="118"/>
      <c r="L284" s="118"/>
      <c r="M284" s="118"/>
      <c r="N284" s="118"/>
      <c r="O284" s="118"/>
      <c r="P284" s="118"/>
      <c r="Q284" s="160">
        <f t="shared" si="65"/>
        <v>0</v>
      </c>
    </row>
    <row r="285" spans="1:41">
      <c r="A285" s="95"/>
      <c r="B285" s="96" t="s">
        <v>685</v>
      </c>
      <c r="C285" s="96"/>
      <c r="D285" s="96"/>
      <c r="E285" s="96"/>
      <c r="F285" s="96"/>
      <c r="G285" s="96"/>
      <c r="H285" s="97"/>
      <c r="I285" s="141"/>
      <c r="J285" s="118"/>
      <c r="K285" s="118"/>
      <c r="L285" s="118"/>
      <c r="M285" s="118"/>
      <c r="N285" s="118"/>
      <c r="O285" s="118"/>
      <c r="P285" s="118"/>
      <c r="Q285" s="160">
        <f t="shared" si="65"/>
        <v>0</v>
      </c>
    </row>
    <row r="286" spans="1:41">
      <c r="A286" s="95"/>
      <c r="B286" s="96" t="s">
        <v>686</v>
      </c>
      <c r="C286" s="96"/>
      <c r="D286" s="647" t="s">
        <v>687</v>
      </c>
      <c r="E286" s="648"/>
      <c r="F286" s="648"/>
      <c r="G286" s="648"/>
      <c r="H286" s="101" t="s">
        <v>59</v>
      </c>
      <c r="I286" s="141"/>
      <c r="J286" s="118"/>
      <c r="K286" s="118"/>
      <c r="L286" s="118"/>
      <c r="M286" s="118"/>
      <c r="N286" s="118"/>
      <c r="O286" s="118"/>
      <c r="P286" s="118"/>
      <c r="Q286" s="160">
        <f t="shared" si="65"/>
        <v>0</v>
      </c>
    </row>
    <row r="287" spans="1:41" ht="36">
      <c r="A287" s="95"/>
      <c r="B287" s="102" t="s">
        <v>688</v>
      </c>
      <c r="C287" s="103" t="s">
        <v>689</v>
      </c>
      <c r="D287" s="104" t="s">
        <v>690</v>
      </c>
      <c r="E287" s="105" t="s">
        <v>9</v>
      </c>
      <c r="F287" s="102" t="s">
        <v>691</v>
      </c>
      <c r="G287" s="106" t="s">
        <v>692</v>
      </c>
      <c r="H287" s="107" t="s">
        <v>693</v>
      </c>
      <c r="I287" s="141"/>
      <c r="J287" s="118"/>
      <c r="K287" s="118"/>
      <c r="L287" s="118"/>
      <c r="M287" s="118"/>
      <c r="N287" s="118"/>
      <c r="O287" s="118"/>
      <c r="P287" s="118"/>
      <c r="Q287" s="160">
        <f t="shared" si="65"/>
        <v>0</v>
      </c>
    </row>
    <row r="288" spans="1:41" ht="15.75" customHeight="1">
      <c r="A288" s="115" t="s">
        <v>653</v>
      </c>
      <c r="B288" s="111">
        <f>('Pivot Table for Data Exchange'!$L$6)*100</f>
        <v>79.639936988973076</v>
      </c>
      <c r="C288" s="111">
        <f>('Pivot Table for Data Exchange'!$L$9)*100</f>
        <v>6.1960843147550824</v>
      </c>
      <c r="D288" s="173">
        <f>SUM(E288:G288)</f>
        <v>14.163978696271846</v>
      </c>
      <c r="E288" s="111">
        <f>('Pivot Table for Data Exchange'!$L$12)*100</f>
        <v>13.693646388117919</v>
      </c>
      <c r="F288" s="111">
        <f>('Pivot Table for Data Exchange'!$L$15)*100</f>
        <v>0.3810666866701673</v>
      </c>
      <c r="G288" s="113">
        <f>('Pivot Table for Data Exchange'!$L$18)*100</f>
        <v>8.9265621483759661E-2</v>
      </c>
      <c r="H288" s="120">
        <f>('Pivot Table for Data Exchange'!$L$21)*100</f>
        <v>0</v>
      </c>
      <c r="I288" s="118"/>
      <c r="J288" s="143"/>
      <c r="K288" s="143"/>
      <c r="L288" s="143"/>
      <c r="M288" s="143"/>
      <c r="N288" s="143"/>
      <c r="O288" s="143"/>
      <c r="P288" s="143"/>
      <c r="Q288" s="160">
        <f t="shared" si="65"/>
        <v>100</v>
      </c>
      <c r="R288" s="160"/>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row>
    <row r="289" spans="1:41" ht="15.75" customHeight="1">
      <c r="A289" s="118" t="s">
        <v>654</v>
      </c>
      <c r="B289" s="111">
        <f>('Pivot Table for Data Exchange'!$L$42)*100</f>
        <v>70.675197860610083</v>
      </c>
      <c r="C289" s="111">
        <f>('Pivot Table for Data Exchange'!$L$45)*100</f>
        <v>0</v>
      </c>
      <c r="D289" s="173">
        <f t="shared" ref="D289:D291" si="67">SUM(E289:G289)</f>
        <v>29.324802139389917</v>
      </c>
      <c r="E289" s="111">
        <f>('Pivot Table for Data Exchange'!$L$48)*100</f>
        <v>29.324802139389917</v>
      </c>
      <c r="F289" s="111">
        <f>('Pivot Table for Data Exchange'!$L$51)*100</f>
        <v>0</v>
      </c>
      <c r="G289" s="119">
        <f>('Pivot Table for Data Exchange'!$L$54)*100</f>
        <v>0</v>
      </c>
      <c r="H289" s="111">
        <f>('Pivot Table for Data Exchange'!$L$57)*100</f>
        <v>0</v>
      </c>
      <c r="I289" s="118"/>
      <c r="J289" s="143"/>
      <c r="K289" s="143"/>
      <c r="L289" s="143"/>
      <c r="M289" s="143"/>
      <c r="N289" s="143"/>
      <c r="O289" s="143"/>
      <c r="P289" s="143"/>
      <c r="Q289" s="160">
        <f t="shared" si="65"/>
        <v>100</v>
      </c>
      <c r="R289" s="160"/>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row>
    <row r="290" spans="1:41" ht="15.75" customHeight="1">
      <c r="A290" s="118" t="s">
        <v>655</v>
      </c>
      <c r="B290" s="111">
        <f>('Pivot Table for Data Exchange'!$L$78)*100</f>
        <v>0</v>
      </c>
      <c r="C290" s="111">
        <f>('Pivot Table for Data Exchange'!$L$81)*100</f>
        <v>0</v>
      </c>
      <c r="D290" s="173">
        <f t="shared" si="67"/>
        <v>0</v>
      </c>
      <c r="E290" s="111">
        <f>('Pivot Table for Data Exchange'!$L$84)*100</f>
        <v>0</v>
      </c>
      <c r="F290" s="111">
        <f>('Pivot Table for Data Exchange'!$L$87)*100</f>
        <v>0</v>
      </c>
      <c r="G290" s="119">
        <f>('Pivot Table for Data Exchange'!$L$90)*100</f>
        <v>0</v>
      </c>
      <c r="H290" s="111">
        <f>('Pivot Table for Data Exchange'!$L$93)*100</f>
        <v>0</v>
      </c>
      <c r="I290" s="118"/>
      <c r="J290" s="143"/>
      <c r="K290" s="143"/>
      <c r="L290" s="143"/>
      <c r="M290" s="143"/>
      <c r="N290" s="143"/>
      <c r="O290" s="143"/>
      <c r="P290" s="143"/>
      <c r="Q290" s="160">
        <f t="shared" si="65"/>
        <v>0</v>
      </c>
      <c r="R290" s="160"/>
      <c r="S290" s="116"/>
      <c r="T290" s="132"/>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row>
    <row r="291" spans="1:41" ht="15.75" customHeight="1">
      <c r="A291" s="118" t="s">
        <v>695</v>
      </c>
      <c r="B291" s="111">
        <f>('Pivot Table for Data Exchange'!$L$114)*100</f>
        <v>79.584609549787771</v>
      </c>
      <c r="C291" s="111">
        <f>('Pivot Table for Data Exchange'!$L$117)*100</f>
        <v>2.4107145580695577</v>
      </c>
      <c r="D291" s="173">
        <f t="shared" si="67"/>
        <v>17.950277465867103</v>
      </c>
      <c r="E291" s="111">
        <f>('Pivot Table for Data Exchange'!$L$120)*100</f>
        <v>13.560866755037276</v>
      </c>
      <c r="F291" s="111">
        <f>('Pivot Table for Data Exchange'!$L$123)*100</f>
        <v>0.2037992132055654</v>
      </c>
      <c r="G291" s="119">
        <f>('Pivot Table for Data Exchange'!$L$126)*100</f>
        <v>4.1856114976242624</v>
      </c>
      <c r="H291" s="111">
        <f>('Pivot Table for Data Exchange'!$L$129)*100</f>
        <v>5.4398426275558361E-2</v>
      </c>
      <c r="I291" s="118"/>
      <c r="J291" s="143"/>
      <c r="K291" s="143"/>
      <c r="L291" s="143"/>
      <c r="M291" s="143"/>
      <c r="N291" s="143"/>
      <c r="O291" s="143"/>
      <c r="P291" s="143"/>
      <c r="Q291" s="160">
        <f t="shared" si="65"/>
        <v>99.999999999999986</v>
      </c>
      <c r="R291" s="160"/>
      <c r="S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row>
    <row r="292" spans="1:41" ht="15.75" customHeight="1">
      <c r="A292" s="118"/>
      <c r="B292" s="111"/>
      <c r="C292" s="111"/>
      <c r="D292" s="173"/>
      <c r="E292" s="111"/>
      <c r="F292" s="111"/>
      <c r="G292" s="119"/>
      <c r="H292" s="111"/>
      <c r="I292" s="118"/>
      <c r="J292" s="143"/>
      <c r="K292" s="143"/>
      <c r="L292" s="143"/>
      <c r="M292" s="143"/>
      <c r="N292" s="143"/>
      <c r="O292" s="143"/>
      <c r="P292" s="143"/>
      <c r="Q292" s="160">
        <f t="shared" si="65"/>
        <v>0</v>
      </c>
      <c r="R292" s="160"/>
      <c r="S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row>
    <row r="293" spans="1:41" ht="15.75" customHeight="1">
      <c r="A293" s="118" t="s">
        <v>657</v>
      </c>
      <c r="B293" s="111">
        <f>('Pivot Table for Data Exchange'!$L$150)*100</f>
        <v>0</v>
      </c>
      <c r="C293" s="111">
        <f>('Pivot Table for Data Exchange'!$L$153)*100</f>
        <v>0</v>
      </c>
      <c r="D293" s="173">
        <f t="shared" ref="D293:D296" si="68">SUM(E293:G293)</f>
        <v>0</v>
      </c>
      <c r="E293" s="111">
        <f>('Pivot Table for Data Exchange'!$L$156)*100</f>
        <v>0</v>
      </c>
      <c r="F293" s="111">
        <f>('Pivot Table for Data Exchange'!$L$159)*100</f>
        <v>0</v>
      </c>
      <c r="G293" s="119">
        <f>('Pivot Table for Data Exchange'!$L$162)*100</f>
        <v>0</v>
      </c>
      <c r="H293" s="120">
        <f>('Pivot Table for Data Exchange'!$L$165)*100</f>
        <v>0</v>
      </c>
      <c r="I293" s="118"/>
      <c r="J293" s="143"/>
      <c r="K293" s="143"/>
      <c r="L293" s="143"/>
      <c r="M293" s="143"/>
      <c r="N293" s="143"/>
      <c r="O293" s="143"/>
      <c r="P293" s="143"/>
      <c r="Q293" s="160">
        <f t="shared" si="65"/>
        <v>0</v>
      </c>
      <c r="R293" s="160"/>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row>
    <row r="294" spans="1:41" ht="15.75" customHeight="1">
      <c r="A294" s="118" t="s">
        <v>658</v>
      </c>
      <c r="B294" s="111">
        <f>('Pivot Table for Data Exchange'!$L$186)*100</f>
        <v>72.225486862715428</v>
      </c>
      <c r="C294" s="111">
        <f>('Pivot Table for Data Exchange'!$L$189)*100</f>
        <v>7.4576617618445846</v>
      </c>
      <c r="D294" s="173">
        <f t="shared" si="68"/>
        <v>20.316851375439988</v>
      </c>
      <c r="E294" s="111">
        <f>('Pivot Table for Data Exchange'!$L$192)*100</f>
        <v>19.84497434254617</v>
      </c>
      <c r="F294" s="111">
        <f>('Pivot Table for Data Exchange'!$L$195)*100</f>
        <v>0.47187703289381883</v>
      </c>
      <c r="G294" s="119">
        <f>('Pivot Table for Data Exchange'!$L$198)*100</f>
        <v>0</v>
      </c>
      <c r="H294" s="111">
        <f>('Pivot Table for Data Exchange'!$L$201)*100</f>
        <v>0</v>
      </c>
      <c r="I294" s="118"/>
      <c r="J294" s="143"/>
      <c r="K294" s="143"/>
      <c r="L294" s="143"/>
      <c r="M294" s="143"/>
      <c r="N294" s="143"/>
      <c r="O294" s="143"/>
      <c r="P294" s="143"/>
      <c r="Q294" s="160">
        <f t="shared" si="65"/>
        <v>100</v>
      </c>
      <c r="R294" s="160"/>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row>
    <row r="295" spans="1:41" ht="15.75" customHeight="1">
      <c r="A295" s="118" t="s">
        <v>659</v>
      </c>
      <c r="B295" s="111">
        <f>('Pivot Table for Data Exchange'!$L$222)*100</f>
        <v>0</v>
      </c>
      <c r="C295" s="111">
        <f>('Pivot Table for Data Exchange'!$L$225)*100</f>
        <v>0</v>
      </c>
      <c r="D295" s="173">
        <f t="shared" si="68"/>
        <v>0</v>
      </c>
      <c r="E295" s="111">
        <f>('Pivot Table for Data Exchange'!$L$228)*100</f>
        <v>0</v>
      </c>
      <c r="F295" s="111">
        <f>('Pivot Table for Data Exchange'!$L$231)*100</f>
        <v>0</v>
      </c>
      <c r="G295" s="119">
        <f>('Pivot Table for Data Exchange'!$L$234)*100</f>
        <v>0</v>
      </c>
      <c r="H295" s="111">
        <f>('Pivot Table for Data Exchange'!$L$237)*100</f>
        <v>0</v>
      </c>
      <c r="I295" s="118"/>
      <c r="J295" s="143"/>
      <c r="K295" s="143"/>
      <c r="L295" s="143"/>
      <c r="M295" s="143"/>
      <c r="N295" s="143"/>
      <c r="O295" s="143"/>
      <c r="P295" s="143"/>
      <c r="Q295" s="160">
        <f t="shared" si="65"/>
        <v>0</v>
      </c>
      <c r="R295" s="160"/>
      <c r="S295" s="116"/>
      <c r="T295" s="132"/>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row>
    <row r="296" spans="1:41" ht="15.75" customHeight="1">
      <c r="A296" s="118" t="s">
        <v>700</v>
      </c>
      <c r="B296" s="111">
        <f>('Pivot Table for Data Exchange'!$L$258)*100</f>
        <v>79.573677416120432</v>
      </c>
      <c r="C296" s="111">
        <f>('Pivot Table for Data Exchange'!$L$261)*100</f>
        <v>9.1858322784413495</v>
      </c>
      <c r="D296" s="173">
        <f t="shared" si="68"/>
        <v>11.240490305438231</v>
      </c>
      <c r="E296" s="111">
        <f>('Pivot Table for Data Exchange'!$L$264)*100</f>
        <v>11.136902001579205</v>
      </c>
      <c r="F296" s="120">
        <f>('Pivot Table for Data Exchange'!$L$267)*100</f>
        <v>4.3992129043578528E-2</v>
      </c>
      <c r="G296" s="121">
        <f>('Pivot Table for Data Exchange'!$L$270)*100</f>
        <v>5.9596174815446122E-2</v>
      </c>
      <c r="H296" s="111">
        <f>('Pivot Table for Data Exchange'!$L$273)*100</f>
        <v>0</v>
      </c>
      <c r="I296" s="118"/>
      <c r="J296" s="143"/>
      <c r="K296" s="143"/>
      <c r="L296" s="143"/>
      <c r="M296" s="143"/>
      <c r="N296" s="143"/>
      <c r="O296" s="143"/>
      <c r="P296" s="143"/>
      <c r="Q296" s="160">
        <f t="shared" si="65"/>
        <v>100.00000000000001</v>
      </c>
      <c r="R296" s="160"/>
      <c r="S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row>
    <row r="297" spans="1:41" ht="9.75" customHeight="1">
      <c r="A297" s="118"/>
      <c r="B297" s="111"/>
      <c r="C297" s="111"/>
      <c r="D297" s="173"/>
      <c r="E297" s="111"/>
      <c r="F297" s="111"/>
      <c r="G297" s="119"/>
      <c r="H297" s="111"/>
      <c r="I297" s="118"/>
      <c r="J297" s="143"/>
      <c r="K297" s="143"/>
      <c r="L297" s="143"/>
      <c r="M297" s="143"/>
      <c r="N297" s="143"/>
      <c r="O297" s="143"/>
      <c r="P297" s="143"/>
      <c r="Q297" s="160">
        <f t="shared" si="65"/>
        <v>0</v>
      </c>
      <c r="R297" s="160"/>
      <c r="S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row>
    <row r="298" spans="1:41" ht="15.75" customHeight="1">
      <c r="A298" s="118" t="s">
        <v>703</v>
      </c>
      <c r="B298" s="111">
        <f>('Pivot Table for Data Exchange'!$L$294)*100</f>
        <v>82.311818249875586</v>
      </c>
      <c r="C298" s="111">
        <f>('Pivot Table for Data Exchange'!$L$297)*100</f>
        <v>0</v>
      </c>
      <c r="D298" s="173">
        <f t="shared" ref="D298:D300" si="69">SUM(E298:G298)</f>
        <v>17.688181750124404</v>
      </c>
      <c r="E298" s="111">
        <f>('Pivot Table for Data Exchange'!$L$300)*100</f>
        <v>17.688181750124404</v>
      </c>
      <c r="F298" s="111">
        <f>('Pivot Table for Data Exchange'!$L$303)*100</f>
        <v>0</v>
      </c>
      <c r="G298" s="119">
        <f>('Pivot Table for Data Exchange'!$L$306)*100</f>
        <v>0</v>
      </c>
      <c r="H298" s="111">
        <f>('Pivot Table for Data Exchange'!$L$309)*100</f>
        <v>0</v>
      </c>
      <c r="I298" s="148"/>
      <c r="J298" s="143"/>
      <c r="K298" s="143"/>
      <c r="L298" s="143"/>
      <c r="M298" s="143"/>
      <c r="N298" s="143"/>
      <c r="O298" s="143"/>
      <c r="P298" s="143"/>
      <c r="Q298" s="160">
        <f t="shared" si="65"/>
        <v>99.999999999999986</v>
      </c>
      <c r="R298" s="160"/>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row>
    <row r="299" spans="1:41" ht="15.75" customHeight="1">
      <c r="A299" s="118" t="s">
        <v>662</v>
      </c>
      <c r="B299" s="111">
        <f>('Pivot Table for Data Exchange'!$L$330)*100</f>
        <v>76.599070541695866</v>
      </c>
      <c r="C299" s="111">
        <f>('Pivot Table for Data Exchange'!$L$333)*100</f>
        <v>3.4411645849321721</v>
      </c>
      <c r="D299" s="173">
        <f t="shared" si="69"/>
        <v>19.959764873371963</v>
      </c>
      <c r="E299" s="111">
        <f>('Pivot Table for Data Exchange'!$L$336)*100</f>
        <v>19.423018459405249</v>
      </c>
      <c r="F299" s="120">
        <f>('Pivot Table for Data Exchange'!$L$339)*100</f>
        <v>0.20706121374575032</v>
      </c>
      <c r="G299" s="119">
        <f>('Pivot Table for Data Exchange'!$L$342)*100</f>
        <v>0.32968520022096415</v>
      </c>
      <c r="H299" s="111">
        <f>('Pivot Table for Data Exchange'!$L$345)*100</f>
        <v>0</v>
      </c>
      <c r="I299" s="118"/>
      <c r="J299" s="143"/>
      <c r="K299" s="143"/>
      <c r="L299" s="143"/>
      <c r="M299" s="143"/>
      <c r="N299" s="143"/>
      <c r="O299" s="143"/>
      <c r="P299" s="143"/>
      <c r="Q299" s="160">
        <f t="shared" si="65"/>
        <v>100</v>
      </c>
      <c r="R299" s="160"/>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row>
    <row r="300" spans="1:41" ht="15.75" customHeight="1">
      <c r="A300" s="118" t="s">
        <v>663</v>
      </c>
      <c r="B300" s="111">
        <f>('Pivot Table for Data Exchange'!$L$366)*100</f>
        <v>73.916435045506134</v>
      </c>
      <c r="C300" s="111">
        <f>('Pivot Table for Data Exchange'!$L$369)*100</f>
        <v>5.5915797240555642</v>
      </c>
      <c r="D300" s="173">
        <f t="shared" si="69"/>
        <v>18.5932649047826</v>
      </c>
      <c r="E300" s="111">
        <f>('Pivot Table for Data Exchange'!$L$372)*100</f>
        <v>18.249975769664871</v>
      </c>
      <c r="F300" s="111">
        <f>('Pivot Table for Data Exchange'!$L$375)*100</f>
        <v>3.8924860949141313E-2</v>
      </c>
      <c r="G300" s="119">
        <f>('Pivot Table for Data Exchange'!$L$378)*100</f>
        <v>0.30436427416858686</v>
      </c>
      <c r="H300" s="111">
        <f>('Pivot Table for Data Exchange'!$L$381)*100</f>
        <v>1.8987203256557041</v>
      </c>
      <c r="I300" s="118"/>
      <c r="J300" s="143"/>
      <c r="K300" s="143"/>
      <c r="L300" s="143"/>
      <c r="M300" s="143"/>
      <c r="N300" s="143"/>
      <c r="O300" s="143"/>
      <c r="P300" s="143"/>
      <c r="Q300" s="160">
        <f t="shared" si="65"/>
        <v>100</v>
      </c>
      <c r="R300" s="160"/>
      <c r="S300" s="116"/>
      <c r="T300" s="132"/>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row>
    <row r="301" spans="1:41" ht="15.75" customHeight="1">
      <c r="A301" s="118" t="s">
        <v>664</v>
      </c>
      <c r="B301" s="111">
        <f>('Pivot Table for Data Exchange'!$L$402)*100</f>
        <v>77.321497832798869</v>
      </c>
      <c r="C301" s="111">
        <f>('Pivot Table for Data Exchange'!$L$405)*100</f>
        <v>4.4696915917945743</v>
      </c>
      <c r="D301" s="173">
        <f>SUM(E301:G301)</f>
        <v>18.208810575406559</v>
      </c>
      <c r="E301" s="111">
        <f>('Pivot Table for Data Exchange'!$L$408)*100</f>
        <v>17.821152664993811</v>
      </c>
      <c r="F301" s="111">
        <f>('Pivot Table for Data Exchange'!$L$411)*100</f>
        <v>0.25957030466331477</v>
      </c>
      <c r="G301" s="119">
        <f>('Pivot Table for Data Exchange'!$L$414)*100</f>
        <v>0.12808760574943595</v>
      </c>
      <c r="H301" s="111">
        <f>('Pivot Table for Data Exchange'!$L$417)*100</f>
        <v>0</v>
      </c>
      <c r="I301" s="118"/>
      <c r="J301" s="143"/>
      <c r="K301" s="143"/>
      <c r="L301" s="143"/>
      <c r="M301" s="143"/>
      <c r="N301" s="143"/>
      <c r="O301" s="143"/>
      <c r="P301" s="143"/>
      <c r="Q301" s="160">
        <f t="shared" si="65"/>
        <v>100</v>
      </c>
      <c r="R301" s="160"/>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row>
    <row r="302" spans="1:41" ht="11.25" customHeight="1">
      <c r="A302" s="118"/>
      <c r="B302" s="111"/>
      <c r="C302" s="111"/>
      <c r="D302" s="173"/>
      <c r="E302" s="111"/>
      <c r="F302" s="111"/>
      <c r="G302" s="119"/>
      <c r="H302" s="111"/>
      <c r="I302" s="118"/>
      <c r="J302" s="143"/>
      <c r="K302" s="143"/>
      <c r="L302" s="143"/>
      <c r="M302" s="143"/>
      <c r="N302" s="143"/>
      <c r="O302" s="143"/>
      <c r="P302" s="143"/>
      <c r="Q302" s="160">
        <f t="shared" si="65"/>
        <v>0</v>
      </c>
      <c r="R302" s="160"/>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row>
    <row r="303" spans="1:41" ht="15.75" customHeight="1">
      <c r="A303" s="118" t="s">
        <v>665</v>
      </c>
      <c r="B303" s="111">
        <f>('Pivot Table for Data Exchange'!$L$438)*100</f>
        <v>81.520010408933317</v>
      </c>
      <c r="C303" s="111">
        <f>('Pivot Table for Data Exchange'!$L$441)*100</f>
        <v>0.93420176492648688</v>
      </c>
      <c r="D303" s="173">
        <f>SUM(E303:G303)</f>
        <v>17.449352120437482</v>
      </c>
      <c r="E303" s="111">
        <f>('Pivot Table for Data Exchange'!$L$444)*100</f>
        <v>12.318207214309222</v>
      </c>
      <c r="F303" s="111">
        <f>('Pivot Table for Data Exchange'!$L$447)*100</f>
        <v>0.77684318482744896</v>
      </c>
      <c r="G303" s="119">
        <f>('Pivot Table for Data Exchange'!$L$450)*100</f>
        <v>4.3543017213008106</v>
      </c>
      <c r="H303" s="111">
        <f>('Pivot Table for Data Exchange'!$L$453)*100</f>
        <v>9.6435705702717797E-2</v>
      </c>
      <c r="I303" s="118"/>
      <c r="J303" s="143"/>
      <c r="K303" s="143"/>
      <c r="L303" s="143"/>
      <c r="M303" s="143"/>
      <c r="N303" s="143"/>
      <c r="O303" s="143"/>
      <c r="P303" s="143"/>
      <c r="Q303" s="160">
        <f t="shared" si="65"/>
        <v>100</v>
      </c>
      <c r="R303" s="160"/>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row>
    <row r="304" spans="1:41" ht="15.75" customHeight="1">
      <c r="A304" s="118" t="s">
        <v>666</v>
      </c>
      <c r="B304" s="111">
        <f>('Pivot Table for Data Exchange'!$L$474)*100</f>
        <v>74.819930411669915</v>
      </c>
      <c r="C304" s="111">
        <f>('Pivot Table for Data Exchange'!$L$477)*100</f>
        <v>9.1012852153075858</v>
      </c>
      <c r="D304" s="173">
        <f>SUM(E304:G304)</f>
        <v>16.078784373022494</v>
      </c>
      <c r="E304" s="111">
        <f>('Pivot Table for Data Exchange'!$L$480)*100</f>
        <v>15.316724901766632</v>
      </c>
      <c r="F304" s="111">
        <f>('Pivot Table for Data Exchange'!$L$483)*100</f>
        <v>9.5303338575733948E-2</v>
      </c>
      <c r="G304" s="119">
        <f>('Pivot Table for Data Exchange'!$L$486)*100</f>
        <v>0.66675613268012646</v>
      </c>
      <c r="H304" s="111">
        <f>('Pivot Table for Data Exchange'!$L$489)*100</f>
        <v>0</v>
      </c>
      <c r="I304" s="118"/>
      <c r="J304" s="143"/>
      <c r="K304" s="143"/>
      <c r="L304" s="143"/>
      <c r="M304" s="143"/>
      <c r="N304" s="143"/>
      <c r="O304" s="143"/>
      <c r="P304" s="143"/>
      <c r="Q304" s="160">
        <f t="shared" si="65"/>
        <v>100</v>
      </c>
      <c r="R304" s="160"/>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row>
    <row r="305" spans="1:41" ht="15.75" customHeight="1">
      <c r="A305" s="118" t="s">
        <v>667</v>
      </c>
      <c r="B305" s="111">
        <f>('Pivot Table for Data Exchange'!$L$510)*100</f>
        <v>0</v>
      </c>
      <c r="C305" s="111">
        <f>('Pivot Table for Data Exchange'!$L$513)*100</f>
        <v>0</v>
      </c>
      <c r="D305" s="173">
        <f t="shared" ref="D305" si="70">SUM(E305:G305)</f>
        <v>0</v>
      </c>
      <c r="E305" s="111">
        <f>('Pivot Table for Data Exchange'!$L$516)*100</f>
        <v>0</v>
      </c>
      <c r="F305" s="111">
        <f>('Pivot Table for Data Exchange'!$L$519)*100</f>
        <v>0</v>
      </c>
      <c r="G305" s="119">
        <f>('Pivot Table for Data Exchange'!$L$522)*100</f>
        <v>0</v>
      </c>
      <c r="H305" s="111">
        <f>('Pivot Table for Data Exchange'!$L$525)*100</f>
        <v>0</v>
      </c>
      <c r="I305" s="118"/>
      <c r="J305" s="143"/>
      <c r="K305" s="143"/>
      <c r="L305" s="143"/>
      <c r="M305" s="143"/>
      <c r="N305" s="143"/>
      <c r="O305" s="143"/>
      <c r="P305" s="143"/>
      <c r="Q305" s="160">
        <f t="shared" si="65"/>
        <v>0</v>
      </c>
      <c r="R305" s="160"/>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row>
    <row r="306" spans="1:41" ht="15.75" customHeight="1">
      <c r="A306" s="91" t="s">
        <v>668</v>
      </c>
      <c r="B306" s="122">
        <f>('Pivot Table for Data Exchange'!$L$546)*100</f>
        <v>0</v>
      </c>
      <c r="C306" s="122">
        <f>('Pivot Table for Data Exchange'!$L$549)*100</f>
        <v>0</v>
      </c>
      <c r="D306" s="174">
        <f>SUM(E306:G306)</f>
        <v>0</v>
      </c>
      <c r="E306" s="122">
        <f>('Pivot Table for Data Exchange'!$L$552)*100</f>
        <v>0</v>
      </c>
      <c r="F306" s="122">
        <f>('Pivot Table for Data Exchange'!$L$555)*100</f>
        <v>0</v>
      </c>
      <c r="G306" s="124">
        <f>('Pivot Table for Data Exchange'!$L$558)*100</f>
        <v>0</v>
      </c>
      <c r="H306" s="125">
        <f>('Pivot Table for Data Exchange'!$L$561)*100</f>
        <v>0</v>
      </c>
      <c r="I306" s="118"/>
      <c r="J306" s="143"/>
      <c r="K306" s="143"/>
      <c r="L306" s="143"/>
      <c r="M306" s="143"/>
      <c r="N306" s="143"/>
      <c r="O306" s="143"/>
      <c r="P306" s="143"/>
      <c r="Q306" s="160">
        <f t="shared" si="65"/>
        <v>0</v>
      </c>
      <c r="R306" s="160"/>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row>
    <row r="307" spans="1:41" s="60" customFormat="1" ht="18" customHeight="1">
      <c r="A307" s="58" t="s">
        <v>697</v>
      </c>
      <c r="B307" s="126"/>
      <c r="C307" s="126"/>
      <c r="D307" s="127"/>
      <c r="E307" s="126"/>
      <c r="F307" s="127"/>
      <c r="G307" s="127"/>
      <c r="H307" s="126"/>
      <c r="I307" s="58"/>
      <c r="J307" s="126"/>
      <c r="K307" s="126"/>
      <c r="L307" s="127"/>
      <c r="M307" s="126"/>
      <c r="N307" s="127"/>
      <c r="O307" s="127"/>
      <c r="P307" s="126"/>
      <c r="Q307" s="160">
        <f t="shared" si="65"/>
        <v>0</v>
      </c>
      <c r="R307" s="164"/>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row>
    <row r="308" spans="1:41" s="60" customFormat="1" ht="30" customHeight="1">
      <c r="A308" s="643" t="s">
        <v>704</v>
      </c>
      <c r="B308" s="655"/>
      <c r="C308" s="655"/>
      <c r="D308" s="655"/>
      <c r="E308" s="655"/>
      <c r="F308" s="655"/>
      <c r="G308" s="655"/>
      <c r="H308" s="655"/>
      <c r="I308" s="58"/>
      <c r="P308" s="136"/>
      <c r="Q308" s="160">
        <f t="shared" si="65"/>
        <v>0</v>
      </c>
      <c r="R308" s="169"/>
    </row>
    <row r="309" spans="1:41" s="60" customFormat="1" ht="13.5" customHeight="1">
      <c r="A309" s="134"/>
      <c r="H309" s="62"/>
      <c r="I309" s="134"/>
      <c r="Q309" s="160">
        <f t="shared" si="65"/>
        <v>0</v>
      </c>
      <c r="R309" s="169"/>
    </row>
    <row r="310" spans="1:41" s="60" customFormat="1">
      <c r="A310" s="62"/>
      <c r="H310" s="64" t="s">
        <v>1034</v>
      </c>
      <c r="I310" s="147"/>
      <c r="J310" s="62"/>
      <c r="K310" s="62"/>
      <c r="L310" s="62"/>
      <c r="M310" s="62"/>
      <c r="N310" s="62"/>
      <c r="O310" s="62"/>
      <c r="P310" s="62"/>
      <c r="Q310" s="160">
        <f t="shared" si="65"/>
        <v>0</v>
      </c>
      <c r="R310" s="169"/>
    </row>
    <row r="311" spans="1:41" ht="18">
      <c r="A311" s="31" t="s">
        <v>1021</v>
      </c>
      <c r="B311" s="86"/>
      <c r="C311" s="86"/>
      <c r="D311" s="86"/>
      <c r="E311" s="86"/>
      <c r="F311" s="86"/>
      <c r="G311" s="86"/>
      <c r="H311" s="87"/>
      <c r="I311" s="141"/>
      <c r="J311" s="118"/>
      <c r="K311" s="118"/>
      <c r="L311" s="118"/>
      <c r="M311" s="118"/>
      <c r="N311" s="118"/>
      <c r="O311" s="118"/>
      <c r="P311" s="118"/>
      <c r="Q311" s="160">
        <f t="shared" si="65"/>
        <v>0</v>
      </c>
    </row>
    <row r="312" spans="1:41">
      <c r="A312" s="37"/>
      <c r="B312" s="38"/>
      <c r="C312" s="38"/>
      <c r="D312" s="38"/>
      <c r="E312" s="38"/>
      <c r="F312" s="38"/>
      <c r="G312" s="38"/>
      <c r="H312" s="88"/>
      <c r="I312" s="141"/>
      <c r="J312" s="118"/>
      <c r="K312" s="118"/>
      <c r="L312" s="118"/>
      <c r="M312" s="118"/>
      <c r="N312" s="118"/>
      <c r="O312" s="118"/>
      <c r="P312" s="118"/>
      <c r="Q312" s="160">
        <f t="shared" si="65"/>
        <v>0</v>
      </c>
    </row>
    <row r="313" spans="1:41" ht="15.75">
      <c r="A313" s="89" t="s">
        <v>683</v>
      </c>
      <c r="B313" s="38"/>
      <c r="C313" s="38"/>
      <c r="D313" s="38"/>
      <c r="E313" s="38"/>
      <c r="F313" s="38"/>
      <c r="G313" s="38"/>
      <c r="H313" s="88"/>
      <c r="I313" s="141"/>
      <c r="J313" s="118"/>
      <c r="K313" s="118"/>
      <c r="L313" s="118"/>
      <c r="M313" s="118"/>
      <c r="N313" s="118"/>
      <c r="O313" s="118"/>
      <c r="P313" s="118"/>
      <c r="Q313" s="160">
        <f t="shared" si="65"/>
        <v>0</v>
      </c>
    </row>
    <row r="314" spans="1:41" ht="15.75">
      <c r="A314" s="89" t="s">
        <v>999</v>
      </c>
      <c r="B314" s="38"/>
      <c r="C314" s="38"/>
      <c r="D314" s="38"/>
      <c r="E314" s="38"/>
      <c r="F314" s="38"/>
      <c r="G314" s="38"/>
      <c r="H314" s="88"/>
      <c r="I314" s="141"/>
      <c r="J314" s="118"/>
      <c r="K314" s="118"/>
      <c r="L314" s="118"/>
      <c r="M314" s="118"/>
      <c r="N314" s="118"/>
      <c r="O314" s="118"/>
      <c r="P314" s="118"/>
      <c r="Q314" s="160">
        <f t="shared" si="65"/>
        <v>0</v>
      </c>
    </row>
    <row r="315" spans="1:41">
      <c r="A315" s="91"/>
      <c r="B315" s="92"/>
      <c r="C315" s="92"/>
      <c r="D315" s="92"/>
      <c r="E315" s="92"/>
      <c r="F315" s="92"/>
      <c r="G315" s="92"/>
      <c r="H315" s="92"/>
      <c r="I315" s="141"/>
      <c r="J315" s="118"/>
      <c r="K315" s="118"/>
      <c r="L315" s="118"/>
      <c r="M315" s="118"/>
      <c r="N315" s="118"/>
      <c r="O315" s="118"/>
      <c r="P315" s="118"/>
      <c r="Q315" s="160">
        <f t="shared" si="65"/>
        <v>0</v>
      </c>
    </row>
    <row r="316" spans="1:41">
      <c r="A316" s="95"/>
      <c r="B316" s="96" t="s">
        <v>685</v>
      </c>
      <c r="C316" s="96"/>
      <c r="D316" s="96"/>
      <c r="E316" s="96"/>
      <c r="F316" s="96"/>
      <c r="G316" s="96"/>
      <c r="H316" s="97"/>
      <c r="I316" s="141"/>
      <c r="J316" s="118"/>
      <c r="K316" s="118"/>
      <c r="L316" s="118"/>
      <c r="M316" s="118"/>
      <c r="N316" s="118"/>
      <c r="O316" s="118"/>
      <c r="P316" s="118"/>
      <c r="Q316" s="160">
        <f t="shared" si="65"/>
        <v>0</v>
      </c>
    </row>
    <row r="317" spans="1:41">
      <c r="A317" s="95"/>
      <c r="B317" s="96" t="s">
        <v>686</v>
      </c>
      <c r="C317" s="96"/>
      <c r="D317" s="647" t="s">
        <v>687</v>
      </c>
      <c r="E317" s="648"/>
      <c r="F317" s="648"/>
      <c r="G317" s="648"/>
      <c r="H317" s="101" t="s">
        <v>59</v>
      </c>
      <c r="I317" s="141"/>
      <c r="J317" s="118"/>
      <c r="K317" s="118"/>
      <c r="L317" s="118"/>
      <c r="M317" s="118"/>
      <c r="N317" s="118"/>
      <c r="O317" s="118"/>
      <c r="P317" s="118"/>
      <c r="Q317" s="160">
        <f t="shared" si="65"/>
        <v>0</v>
      </c>
    </row>
    <row r="318" spans="1:41" ht="36">
      <c r="A318" s="95"/>
      <c r="B318" s="102" t="s">
        <v>688</v>
      </c>
      <c r="C318" s="103" t="s">
        <v>689</v>
      </c>
      <c r="D318" s="104" t="s">
        <v>690</v>
      </c>
      <c r="E318" s="105" t="s">
        <v>9</v>
      </c>
      <c r="F318" s="102" t="s">
        <v>691</v>
      </c>
      <c r="G318" s="106" t="s">
        <v>692</v>
      </c>
      <c r="H318" s="107" t="s">
        <v>693</v>
      </c>
      <c r="I318" s="141"/>
      <c r="J318" s="118"/>
      <c r="K318" s="118"/>
      <c r="L318" s="118"/>
      <c r="M318" s="118"/>
      <c r="N318" s="118"/>
      <c r="O318" s="118"/>
      <c r="P318" s="118"/>
      <c r="Q318" s="160">
        <f t="shared" si="65"/>
        <v>0</v>
      </c>
    </row>
    <row r="319" spans="1:41" ht="15.75" customHeight="1">
      <c r="A319" s="115" t="s">
        <v>653</v>
      </c>
      <c r="B319" s="111">
        <f>('Pivot Table for Data Exchange'!$M$6)*100</f>
        <v>85.595059646493027</v>
      </c>
      <c r="C319" s="111">
        <f>('Pivot Table for Data Exchange'!$M$9)*100</f>
        <v>1.3995846605458746</v>
      </c>
      <c r="D319" s="173">
        <f>SUM(E319:G319)</f>
        <v>12.666057710324152</v>
      </c>
      <c r="E319" s="111">
        <f>('Pivot Table for Data Exchange'!$M$12)*100</f>
        <v>11.445256386234464</v>
      </c>
      <c r="F319" s="111">
        <f>('Pivot Table for Data Exchange'!$M$15)*100</f>
        <v>0.56757853975391914</v>
      </c>
      <c r="G319" s="113">
        <f>('Pivot Table for Data Exchange'!$M$18)*100</f>
        <v>0.65322278433576919</v>
      </c>
      <c r="H319" s="120">
        <f>('Pivot Table for Data Exchange'!$M$21)*100</f>
        <v>0.33929798263693711</v>
      </c>
      <c r="I319" s="118"/>
      <c r="J319" s="143"/>
      <c r="K319" s="143"/>
      <c r="L319" s="143"/>
      <c r="M319" s="143"/>
      <c r="N319" s="143"/>
      <c r="O319" s="143"/>
      <c r="P319" s="143"/>
      <c r="Q319" s="160">
        <f t="shared" si="65"/>
        <v>99.999999999999986</v>
      </c>
      <c r="R319" s="160"/>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row>
    <row r="320" spans="1:41" ht="15.75" customHeight="1">
      <c r="A320" s="118" t="s">
        <v>654</v>
      </c>
      <c r="B320" s="111">
        <f>('Pivot Table for Data Exchange'!$M$42)*100</f>
        <v>68.573893130239654</v>
      </c>
      <c r="C320" s="111">
        <f>('Pivot Table for Data Exchange'!$M$45)*100</f>
        <v>14.026233956796547</v>
      </c>
      <c r="D320" s="173">
        <f t="shared" ref="D320:D322" si="71">SUM(E320:G320)</f>
        <v>17.399872912963801</v>
      </c>
      <c r="E320" s="111">
        <f>('Pivot Table for Data Exchange'!$M$48)*100</f>
        <v>8.8742974143620632</v>
      </c>
      <c r="F320" s="111">
        <f>('Pivot Table for Data Exchange'!$M$51)*100</f>
        <v>0.16423083180614009</v>
      </c>
      <c r="G320" s="119">
        <f>('Pivot Table for Data Exchange'!$M$54)*100</f>
        <v>8.3613446667955955</v>
      </c>
      <c r="H320" s="111">
        <f>('Pivot Table for Data Exchange'!$M$57)*100</f>
        <v>0</v>
      </c>
      <c r="I320" s="118"/>
      <c r="J320" s="143"/>
      <c r="K320" s="143"/>
      <c r="L320" s="143"/>
      <c r="M320" s="143"/>
      <c r="N320" s="143"/>
      <c r="O320" s="143"/>
      <c r="P320" s="143"/>
      <c r="Q320" s="160">
        <f t="shared" si="65"/>
        <v>100</v>
      </c>
      <c r="R320" s="160"/>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row>
    <row r="321" spans="1:41" ht="15.75" customHeight="1">
      <c r="A321" s="118" t="s">
        <v>655</v>
      </c>
      <c r="B321" s="111">
        <f>('Pivot Table for Data Exchange'!$M$78)*100</f>
        <v>0</v>
      </c>
      <c r="C321" s="111">
        <f>('Pivot Table for Data Exchange'!$M$81)*100</f>
        <v>0</v>
      </c>
      <c r="D321" s="173">
        <f t="shared" si="71"/>
        <v>0</v>
      </c>
      <c r="E321" s="111">
        <f>('Pivot Table for Data Exchange'!$M$84)*100</f>
        <v>0</v>
      </c>
      <c r="F321" s="111">
        <f>('Pivot Table for Data Exchange'!$M$87)*100</f>
        <v>0</v>
      </c>
      <c r="G321" s="119">
        <f>('Pivot Table for Data Exchange'!$M$90)*100</f>
        <v>0</v>
      </c>
      <c r="H321" s="111">
        <f>('Pivot Table for Data Exchange'!$M$93)*100</f>
        <v>0</v>
      </c>
      <c r="I321" s="118"/>
      <c r="J321" s="143"/>
      <c r="K321" s="143"/>
      <c r="L321" s="143"/>
      <c r="M321" s="143"/>
      <c r="N321" s="143"/>
      <c r="O321" s="143"/>
      <c r="P321" s="143"/>
      <c r="Q321" s="160">
        <f t="shared" si="65"/>
        <v>0</v>
      </c>
      <c r="R321" s="160"/>
      <c r="S321" s="116"/>
      <c r="T321" s="132"/>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row>
    <row r="322" spans="1:41" ht="15.75" customHeight="1">
      <c r="A322" s="118" t="s">
        <v>695</v>
      </c>
      <c r="B322" s="111">
        <f>('Pivot Table for Data Exchange'!$M$114)*100</f>
        <v>70.184604204331947</v>
      </c>
      <c r="C322" s="111">
        <f>('Pivot Table for Data Exchange'!$M$117)*100</f>
        <v>7.6367471374384062</v>
      </c>
      <c r="D322" s="173">
        <f t="shared" si="71"/>
        <v>22.12768974440781</v>
      </c>
      <c r="E322" s="111">
        <f>('Pivot Table for Data Exchange'!$M$120)*100</f>
        <v>17.663245772625757</v>
      </c>
      <c r="F322" s="111">
        <f>('Pivot Table for Data Exchange'!$M$123)*100</f>
        <v>1.6780991882023466</v>
      </c>
      <c r="G322" s="119">
        <f>('Pivot Table for Data Exchange'!$M$126)*100</f>
        <v>2.7863447835797088</v>
      </c>
      <c r="H322" s="111">
        <f>('Pivot Table for Data Exchange'!$M$129)*100</f>
        <v>5.0958913821829904E-2</v>
      </c>
      <c r="I322" s="118"/>
      <c r="J322" s="143"/>
      <c r="K322" s="143"/>
      <c r="L322" s="143"/>
      <c r="M322" s="143"/>
      <c r="N322" s="143"/>
      <c r="O322" s="143"/>
      <c r="P322" s="143"/>
      <c r="Q322" s="160">
        <f t="shared" si="65"/>
        <v>100</v>
      </c>
      <c r="R322" s="160"/>
      <c r="S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row>
    <row r="323" spans="1:41" ht="15.75" customHeight="1">
      <c r="A323" s="118"/>
      <c r="B323" s="111"/>
      <c r="C323" s="111"/>
      <c r="D323" s="173"/>
      <c r="E323" s="111"/>
      <c r="F323" s="111"/>
      <c r="G323" s="119"/>
      <c r="H323" s="111"/>
      <c r="I323" s="118"/>
      <c r="J323" s="143"/>
      <c r="K323" s="143"/>
      <c r="L323" s="143"/>
      <c r="M323" s="143"/>
      <c r="N323" s="143"/>
      <c r="O323" s="143"/>
      <c r="P323" s="143"/>
      <c r="Q323" s="160">
        <f t="shared" si="65"/>
        <v>0</v>
      </c>
      <c r="R323" s="160"/>
      <c r="S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row>
    <row r="324" spans="1:41" ht="15.75" customHeight="1">
      <c r="A324" s="118" t="s">
        <v>657</v>
      </c>
      <c r="B324" s="111">
        <f>('Pivot Table for Data Exchange'!$M$150)*100</f>
        <v>0</v>
      </c>
      <c r="C324" s="111">
        <f>('Pivot Table for Data Exchange'!$M$153)*100</f>
        <v>0</v>
      </c>
      <c r="D324" s="173">
        <f t="shared" ref="D324:D327" si="72">SUM(E324:G324)</f>
        <v>0</v>
      </c>
      <c r="E324" s="111">
        <f>('Pivot Table for Data Exchange'!$M$156)*100</f>
        <v>0</v>
      </c>
      <c r="F324" s="111">
        <f>('Pivot Table for Data Exchange'!$M$159)*100</f>
        <v>0</v>
      </c>
      <c r="G324" s="119">
        <f>('Pivot Table for Data Exchange'!$M$162)*100</f>
        <v>0</v>
      </c>
      <c r="H324" s="120">
        <f>('Pivot Table for Data Exchange'!$M$165)*100</f>
        <v>0</v>
      </c>
      <c r="I324" s="118"/>
      <c r="J324" s="143"/>
      <c r="K324" s="143"/>
      <c r="L324" s="143"/>
      <c r="M324" s="143"/>
      <c r="N324" s="143"/>
      <c r="O324" s="143"/>
      <c r="P324" s="143"/>
      <c r="Q324" s="160">
        <f t="shared" si="65"/>
        <v>0</v>
      </c>
      <c r="R324" s="160"/>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row>
    <row r="325" spans="1:41" ht="15.75" customHeight="1">
      <c r="A325" s="118" t="s">
        <v>658</v>
      </c>
      <c r="B325" s="111">
        <f>('Pivot Table for Data Exchange'!$M$186)*100</f>
        <v>66.242594477903026</v>
      </c>
      <c r="C325" s="111">
        <f>('Pivot Table for Data Exchange'!$M$189)*100</f>
        <v>8.3455787653170113</v>
      </c>
      <c r="D325" s="173">
        <f t="shared" si="72"/>
        <v>25.411826756779963</v>
      </c>
      <c r="E325" s="111">
        <f>('Pivot Table for Data Exchange'!$M$192)*100</f>
        <v>24.148196303065241</v>
      </c>
      <c r="F325" s="111">
        <f>('Pivot Table for Data Exchange'!$M$195)*100</f>
        <v>1.2636304537147203</v>
      </c>
      <c r="G325" s="119">
        <f>('Pivot Table for Data Exchange'!$M$198)*100</f>
        <v>0</v>
      </c>
      <c r="H325" s="111">
        <f>('Pivot Table for Data Exchange'!$M$201)*100</f>
        <v>0</v>
      </c>
      <c r="I325" s="118"/>
      <c r="J325" s="143"/>
      <c r="K325" s="143"/>
      <c r="L325" s="143"/>
      <c r="M325" s="143"/>
      <c r="N325" s="143"/>
      <c r="O325" s="143"/>
      <c r="P325" s="143"/>
      <c r="Q325" s="160">
        <f t="shared" si="65"/>
        <v>100</v>
      </c>
      <c r="R325" s="160"/>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row>
    <row r="326" spans="1:41" ht="15.75" customHeight="1">
      <c r="A326" s="118" t="s">
        <v>659</v>
      </c>
      <c r="B326" s="111">
        <f>('Pivot Table for Data Exchange'!$M$222)*100</f>
        <v>0</v>
      </c>
      <c r="C326" s="111">
        <f>('Pivot Table for Data Exchange'!$M$225)*100</f>
        <v>0</v>
      </c>
      <c r="D326" s="173">
        <f t="shared" si="72"/>
        <v>0</v>
      </c>
      <c r="E326" s="111">
        <f>('Pivot Table for Data Exchange'!$M$228)*100</f>
        <v>0</v>
      </c>
      <c r="F326" s="111">
        <f>('Pivot Table for Data Exchange'!$M$231)*100</f>
        <v>0</v>
      </c>
      <c r="G326" s="119">
        <f>('Pivot Table for Data Exchange'!$M$234)*100</f>
        <v>0</v>
      </c>
      <c r="H326" s="111">
        <f>('Pivot Table for Data Exchange'!$M$237)*100</f>
        <v>0</v>
      </c>
      <c r="I326" s="118"/>
      <c r="J326" s="143"/>
      <c r="K326" s="143"/>
      <c r="L326" s="143"/>
      <c r="M326" s="143"/>
      <c r="N326" s="143"/>
      <c r="O326" s="143"/>
      <c r="P326" s="143"/>
      <c r="Q326" s="160">
        <f t="shared" si="65"/>
        <v>0</v>
      </c>
      <c r="R326" s="160"/>
      <c r="S326" s="116"/>
      <c r="T326" s="132"/>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row>
    <row r="327" spans="1:41" ht="15.75" customHeight="1">
      <c r="A327" s="118" t="s">
        <v>700</v>
      </c>
      <c r="B327" s="111">
        <f>('Pivot Table for Data Exchange'!$M$258)*100</f>
        <v>80.607104500808873</v>
      </c>
      <c r="C327" s="111">
        <f>('Pivot Table for Data Exchange'!$M$261)*100</f>
        <v>4.498100487196127</v>
      </c>
      <c r="D327" s="173">
        <f t="shared" si="72"/>
        <v>14.880107251899252</v>
      </c>
      <c r="E327" s="111">
        <f>('Pivot Table for Data Exchange'!$M$264)*100</f>
        <v>14.295721903408706</v>
      </c>
      <c r="F327" s="120">
        <f>('Pivot Table for Data Exchange'!$M$267)*100</f>
        <v>0.29583857214138165</v>
      </c>
      <c r="G327" s="121">
        <f>('Pivot Table for Data Exchange'!$M$270)*100</f>
        <v>0.28854677634916448</v>
      </c>
      <c r="H327" s="111">
        <f>('Pivot Table for Data Exchange'!$M$273)*100</f>
        <v>1.4687760095751698E-2</v>
      </c>
      <c r="I327" s="118"/>
      <c r="J327" s="143"/>
      <c r="K327" s="143"/>
      <c r="L327" s="143"/>
      <c r="M327" s="143"/>
      <c r="N327" s="143"/>
      <c r="O327" s="143"/>
      <c r="P327" s="143"/>
      <c r="Q327" s="160">
        <f t="shared" si="65"/>
        <v>100</v>
      </c>
      <c r="R327" s="160"/>
      <c r="S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row>
    <row r="328" spans="1:41" ht="12" customHeight="1">
      <c r="A328" s="118"/>
      <c r="B328" s="111"/>
      <c r="C328" s="111"/>
      <c r="D328" s="173"/>
      <c r="E328" s="111"/>
      <c r="F328" s="111"/>
      <c r="G328" s="119"/>
      <c r="H328" s="111"/>
      <c r="I328" s="118"/>
      <c r="J328" s="143"/>
      <c r="K328" s="143"/>
      <c r="L328" s="143"/>
      <c r="M328" s="143"/>
      <c r="N328" s="143"/>
      <c r="O328" s="143"/>
      <c r="P328" s="143"/>
      <c r="Q328" s="160">
        <f t="shared" si="65"/>
        <v>0</v>
      </c>
      <c r="R328" s="160"/>
      <c r="S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row>
    <row r="329" spans="1:41" ht="15.75" customHeight="1">
      <c r="A329" s="118" t="s">
        <v>703</v>
      </c>
      <c r="B329" s="111">
        <f>('Pivot Table for Data Exchange'!$M$294)*100</f>
        <v>87.035016261405161</v>
      </c>
      <c r="C329" s="111">
        <f>('Pivot Table for Data Exchange'!$M$297)*100</f>
        <v>0</v>
      </c>
      <c r="D329" s="173">
        <f t="shared" ref="D329:D331" si="73">SUM(E329:G329)</f>
        <v>12.964983738594841</v>
      </c>
      <c r="E329" s="111">
        <f>('Pivot Table for Data Exchange'!$M$300)*100</f>
        <v>12.964983738594841</v>
      </c>
      <c r="F329" s="111">
        <f>('Pivot Table for Data Exchange'!$M$303)*100</f>
        <v>0</v>
      </c>
      <c r="G329" s="119">
        <f>('Pivot Table for Data Exchange'!$M$306)*100</f>
        <v>0</v>
      </c>
      <c r="H329" s="111">
        <f>('Pivot Table for Data Exchange'!$M$309)*100</f>
        <v>0</v>
      </c>
      <c r="I329" s="148"/>
      <c r="J329" s="143"/>
      <c r="K329" s="143"/>
      <c r="L329" s="143"/>
      <c r="M329" s="143"/>
      <c r="N329" s="143"/>
      <c r="O329" s="143"/>
      <c r="P329" s="143"/>
      <c r="Q329" s="160">
        <f t="shared" si="65"/>
        <v>100</v>
      </c>
      <c r="R329" s="160"/>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row>
    <row r="330" spans="1:41" ht="15.75" customHeight="1">
      <c r="A330" s="118" t="s">
        <v>662</v>
      </c>
      <c r="B330" s="111">
        <f>('Pivot Table for Data Exchange'!$M$330)*100</f>
        <v>72.00067732599905</v>
      </c>
      <c r="C330" s="111">
        <f>('Pivot Table for Data Exchange'!$M$333)*100</f>
        <v>6.1738264813940607</v>
      </c>
      <c r="D330" s="173">
        <f t="shared" si="73"/>
        <v>21.825496192606884</v>
      </c>
      <c r="E330" s="111">
        <f>('Pivot Table for Data Exchange'!$M$336)*100</f>
        <v>20.798064489645121</v>
      </c>
      <c r="F330" s="120">
        <f>('Pivot Table for Data Exchange'!$M$339)*100</f>
        <v>0.78426140678557499</v>
      </c>
      <c r="G330" s="119">
        <f>('Pivot Table for Data Exchange'!$M$342)*100</f>
        <v>0.24317029617618685</v>
      </c>
      <c r="H330" s="111">
        <f>('Pivot Table for Data Exchange'!$M$345)*100</f>
        <v>0</v>
      </c>
      <c r="I330" s="118"/>
      <c r="J330" s="143"/>
      <c r="K330" s="143"/>
      <c r="L330" s="143"/>
      <c r="M330" s="143"/>
      <c r="N330" s="143"/>
      <c r="O330" s="143"/>
      <c r="P330" s="143"/>
      <c r="Q330" s="160">
        <f t="shared" si="65"/>
        <v>100</v>
      </c>
      <c r="R330" s="160"/>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row>
    <row r="331" spans="1:41" ht="15.75" customHeight="1">
      <c r="A331" s="118" t="s">
        <v>663</v>
      </c>
      <c r="B331" s="111">
        <f>('Pivot Table for Data Exchange'!$M$366)*100</f>
        <v>73.706982231412425</v>
      </c>
      <c r="C331" s="111">
        <f>('Pivot Table for Data Exchange'!$M$369)*100</f>
        <v>4.2308496549801351</v>
      </c>
      <c r="D331" s="173">
        <f t="shared" si="73"/>
        <v>21.755741941146553</v>
      </c>
      <c r="E331" s="111">
        <f>('Pivot Table for Data Exchange'!$M$372)*100</f>
        <v>16.508290544674459</v>
      </c>
      <c r="F331" s="111">
        <f>('Pivot Table for Data Exchange'!$M$375)*100</f>
        <v>2.9602265540092265</v>
      </c>
      <c r="G331" s="119">
        <f>('Pivot Table for Data Exchange'!$M$378)*100</f>
        <v>2.2872248424628712</v>
      </c>
      <c r="H331" s="111">
        <f>('Pivot Table for Data Exchange'!$M$381)*100</f>
        <v>0.30642617246088355</v>
      </c>
      <c r="I331" s="118"/>
      <c r="J331" s="143"/>
      <c r="K331" s="143"/>
      <c r="L331" s="143"/>
      <c r="M331" s="143"/>
      <c r="N331" s="143"/>
      <c r="O331" s="143"/>
      <c r="P331" s="143"/>
      <c r="Q331" s="160">
        <f t="shared" ref="Q331:Q394" si="74">SUM(B331,C331,D331,H331)</f>
        <v>100</v>
      </c>
      <c r="R331" s="160"/>
      <c r="S331" s="116"/>
      <c r="T331" s="132"/>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row>
    <row r="332" spans="1:41" ht="15.75" customHeight="1">
      <c r="A332" s="118" t="s">
        <v>664</v>
      </c>
      <c r="B332" s="111">
        <f>('Pivot Table for Data Exchange'!$M$402)*100</f>
        <v>75.257287638547439</v>
      </c>
      <c r="C332" s="111">
        <f>('Pivot Table for Data Exchange'!$M$405)*100</f>
        <v>7.1291348734675752</v>
      </c>
      <c r="D332" s="173">
        <f>SUM(E332:G332)</f>
        <v>17.61357748798499</v>
      </c>
      <c r="E332" s="111">
        <f>('Pivot Table for Data Exchange'!$M$408)*100</f>
        <v>14.703198775619869</v>
      </c>
      <c r="F332" s="111">
        <f>('Pivot Table for Data Exchange'!$M$411)*100</f>
        <v>2.8418787155746248</v>
      </c>
      <c r="G332" s="119">
        <f>('Pivot Table for Data Exchange'!$M$414)*100</f>
        <v>6.8499996790495468E-2</v>
      </c>
      <c r="H332" s="111">
        <f>('Pivot Table for Data Exchange'!$M$417)*100</f>
        <v>0</v>
      </c>
      <c r="I332" s="118"/>
      <c r="J332" s="143"/>
      <c r="K332" s="143"/>
      <c r="L332" s="143"/>
      <c r="M332" s="143"/>
      <c r="N332" s="143"/>
      <c r="O332" s="143"/>
      <c r="P332" s="143"/>
      <c r="Q332" s="160">
        <f t="shared" si="74"/>
        <v>100</v>
      </c>
      <c r="R332" s="160"/>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row>
    <row r="333" spans="1:41" ht="12.75" customHeight="1">
      <c r="A333" s="118"/>
      <c r="B333" s="111"/>
      <c r="C333" s="111"/>
      <c r="D333" s="173"/>
      <c r="E333" s="111"/>
      <c r="F333" s="111"/>
      <c r="G333" s="119"/>
      <c r="H333" s="111"/>
      <c r="I333" s="118"/>
      <c r="J333" s="143"/>
      <c r="K333" s="143"/>
      <c r="L333" s="143"/>
      <c r="M333" s="143"/>
      <c r="N333" s="143"/>
      <c r="O333" s="143"/>
      <c r="P333" s="143"/>
      <c r="Q333" s="160">
        <f t="shared" si="74"/>
        <v>0</v>
      </c>
      <c r="R333" s="160"/>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row>
    <row r="334" spans="1:41" ht="15.75" customHeight="1">
      <c r="A334" s="118" t="s">
        <v>665</v>
      </c>
      <c r="B334" s="111">
        <f>('Pivot Table for Data Exchange'!$M$438)*100</f>
        <v>75.309295305996883</v>
      </c>
      <c r="C334" s="111">
        <f>('Pivot Table for Data Exchange'!$M$441)*100</f>
        <v>1.5300523670277113</v>
      </c>
      <c r="D334" s="173">
        <f>SUM(E334:G334)</f>
        <v>22.950876121487156</v>
      </c>
      <c r="E334" s="111">
        <f>('Pivot Table for Data Exchange'!$M$444)*100</f>
        <v>14.621809294852916</v>
      </c>
      <c r="F334" s="111">
        <f>('Pivot Table for Data Exchange'!$M$447)*100</f>
        <v>3.1248952251673452</v>
      </c>
      <c r="G334" s="119">
        <f>('Pivot Table for Data Exchange'!$M$450)*100</f>
        <v>5.2041716014668928</v>
      </c>
      <c r="H334" s="111">
        <f>('Pivot Table for Data Exchange'!$M$453)*100</f>
        <v>0.20977620548825299</v>
      </c>
      <c r="I334" s="118"/>
      <c r="J334" s="143"/>
      <c r="K334" s="143"/>
      <c r="L334" s="143"/>
      <c r="M334" s="143"/>
      <c r="N334" s="143"/>
      <c r="O334" s="143"/>
      <c r="P334" s="143"/>
      <c r="Q334" s="160">
        <f t="shared" si="74"/>
        <v>100</v>
      </c>
      <c r="R334" s="160"/>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row>
    <row r="335" spans="1:41" ht="15.75" customHeight="1">
      <c r="A335" s="118" t="s">
        <v>666</v>
      </c>
      <c r="B335" s="111">
        <f>('Pivot Table for Data Exchange'!$M$474)*100</f>
        <v>62.022661231462614</v>
      </c>
      <c r="C335" s="111">
        <f>('Pivot Table for Data Exchange'!$M$477)*100</f>
        <v>21.285947145095555</v>
      </c>
      <c r="D335" s="173">
        <f>SUM(E335:G335)</f>
        <v>16.691391623441831</v>
      </c>
      <c r="E335" s="111">
        <f>('Pivot Table for Data Exchange'!$M$480)*100</f>
        <v>14.131257761863401</v>
      </c>
      <c r="F335" s="111">
        <f>('Pivot Table for Data Exchange'!$M$483)*100</f>
        <v>2.2050219134427778</v>
      </c>
      <c r="G335" s="119">
        <f>('Pivot Table for Data Exchange'!$M$486)*100</f>
        <v>0.3551119481356525</v>
      </c>
      <c r="H335" s="111">
        <f>('Pivot Table for Data Exchange'!$M$489)*100</f>
        <v>0</v>
      </c>
      <c r="I335" s="118"/>
      <c r="J335" s="143"/>
      <c r="K335" s="143"/>
      <c r="L335" s="143"/>
      <c r="M335" s="143"/>
      <c r="N335" s="143"/>
      <c r="O335" s="143"/>
      <c r="P335" s="143"/>
      <c r="Q335" s="160">
        <f t="shared" si="74"/>
        <v>100</v>
      </c>
      <c r="R335" s="160"/>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row>
    <row r="336" spans="1:41" ht="15.75" customHeight="1">
      <c r="A336" s="118" t="s">
        <v>667</v>
      </c>
      <c r="B336" s="111">
        <f>('Pivot Table for Data Exchange'!$M$510)*100</f>
        <v>0</v>
      </c>
      <c r="C336" s="111">
        <f>('Pivot Table for Data Exchange'!$M$513)*100</f>
        <v>0</v>
      </c>
      <c r="D336" s="173">
        <f t="shared" ref="D336" si="75">SUM(E336:G336)</f>
        <v>0</v>
      </c>
      <c r="E336" s="111">
        <f>('Pivot Table for Data Exchange'!$M$516)*100</f>
        <v>0</v>
      </c>
      <c r="F336" s="111">
        <f>('Pivot Table for Data Exchange'!$M$519)*100</f>
        <v>0</v>
      </c>
      <c r="G336" s="119">
        <f>('Pivot Table for Data Exchange'!$M$522)*100</f>
        <v>0</v>
      </c>
      <c r="H336" s="111">
        <f>('Pivot Table for Data Exchange'!$M$525)*100</f>
        <v>0</v>
      </c>
      <c r="I336" s="118"/>
      <c r="J336" s="143"/>
      <c r="K336" s="143"/>
      <c r="L336" s="143"/>
      <c r="M336" s="143"/>
      <c r="N336" s="143"/>
      <c r="O336" s="143"/>
      <c r="P336" s="143"/>
      <c r="Q336" s="160">
        <f t="shared" si="74"/>
        <v>0</v>
      </c>
      <c r="R336" s="160"/>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row>
    <row r="337" spans="1:41" ht="15.75" customHeight="1">
      <c r="A337" s="91" t="s">
        <v>668</v>
      </c>
      <c r="B337" s="122">
        <f>('Pivot Table for Data Exchange'!$M$546)*100</f>
        <v>0</v>
      </c>
      <c r="C337" s="122">
        <f>('Pivot Table for Data Exchange'!$M$549)*100</f>
        <v>0</v>
      </c>
      <c r="D337" s="174">
        <f>SUM(E337:G337)</f>
        <v>0</v>
      </c>
      <c r="E337" s="122">
        <f>('Pivot Table for Data Exchange'!$M$552)*100</f>
        <v>0</v>
      </c>
      <c r="F337" s="122">
        <f>('Pivot Table for Data Exchange'!$M$555)*100</f>
        <v>0</v>
      </c>
      <c r="G337" s="124">
        <f>('Pivot Table for Data Exchange'!$M$558)*100</f>
        <v>0</v>
      </c>
      <c r="H337" s="125">
        <f>('Pivot Table for Data Exchange'!$M$561)*100</f>
        <v>0</v>
      </c>
      <c r="I337" s="118"/>
      <c r="J337" s="143"/>
      <c r="K337" s="143"/>
      <c r="L337" s="143"/>
      <c r="M337" s="143"/>
      <c r="N337" s="143"/>
      <c r="O337" s="143"/>
      <c r="P337" s="143"/>
      <c r="Q337" s="160">
        <f t="shared" si="74"/>
        <v>0</v>
      </c>
      <c r="R337" s="160"/>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row>
    <row r="338" spans="1:41" s="60" customFormat="1" ht="21" customHeight="1">
      <c r="A338" s="58" t="s">
        <v>697</v>
      </c>
      <c r="B338" s="126"/>
      <c r="C338" s="126"/>
      <c r="D338" s="127"/>
      <c r="E338" s="126"/>
      <c r="F338" s="127"/>
      <c r="G338" s="127"/>
      <c r="H338" s="126"/>
      <c r="I338" s="58"/>
      <c r="J338" s="126"/>
      <c r="K338" s="126"/>
      <c r="L338" s="127"/>
      <c r="M338" s="126"/>
      <c r="N338" s="127"/>
      <c r="O338" s="127"/>
      <c r="P338" s="126"/>
      <c r="Q338" s="160">
        <f t="shared" si="74"/>
        <v>0</v>
      </c>
      <c r="R338" s="164"/>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row>
    <row r="339" spans="1:41" s="60" customFormat="1" ht="35.25" customHeight="1">
      <c r="A339" s="643" t="s">
        <v>704</v>
      </c>
      <c r="B339" s="655"/>
      <c r="C339" s="655"/>
      <c r="D339" s="655"/>
      <c r="E339" s="655"/>
      <c r="F339" s="655"/>
      <c r="G339" s="655"/>
      <c r="H339" s="655"/>
      <c r="I339" s="58"/>
      <c r="P339" s="136"/>
      <c r="Q339" s="160">
        <f t="shared" si="74"/>
        <v>0</v>
      </c>
      <c r="R339" s="169"/>
    </row>
    <row r="340" spans="1:41" s="60" customFormat="1">
      <c r="H340" s="64" t="s">
        <v>1034</v>
      </c>
      <c r="I340" s="62"/>
      <c r="J340" s="62"/>
      <c r="K340" s="62"/>
      <c r="L340" s="62"/>
      <c r="M340" s="62"/>
      <c r="N340" s="62"/>
      <c r="O340" s="62"/>
      <c r="P340" s="62"/>
      <c r="Q340" s="160">
        <f t="shared" si="74"/>
        <v>0</v>
      </c>
      <c r="R340" s="168"/>
    </row>
    <row r="341" spans="1:41" ht="18">
      <c r="A341" s="31" t="s">
        <v>1022</v>
      </c>
      <c r="B341" s="86"/>
      <c r="C341" s="86"/>
      <c r="D341" s="86"/>
      <c r="E341" s="86"/>
      <c r="F341" s="86"/>
      <c r="G341" s="86"/>
      <c r="H341" s="87"/>
      <c r="I341" s="141"/>
      <c r="J341" s="118"/>
      <c r="K341" s="118"/>
      <c r="L341" s="87"/>
      <c r="M341" s="118"/>
      <c r="N341" s="118"/>
      <c r="O341" s="118"/>
      <c r="P341" s="118"/>
      <c r="Q341" s="160">
        <f t="shared" si="74"/>
        <v>0</v>
      </c>
    </row>
    <row r="342" spans="1:41">
      <c r="A342" s="37"/>
      <c r="B342" s="38"/>
      <c r="C342" s="38"/>
      <c r="D342" s="38"/>
      <c r="E342" s="38"/>
      <c r="F342" s="38"/>
      <c r="G342" s="38"/>
      <c r="H342" s="88"/>
      <c r="I342" s="141"/>
      <c r="J342" s="118"/>
      <c r="K342" s="118"/>
      <c r="L342" s="118"/>
      <c r="M342" s="118"/>
      <c r="N342" s="118"/>
      <c r="O342" s="118"/>
      <c r="P342" s="118"/>
      <c r="Q342" s="160">
        <f t="shared" si="74"/>
        <v>0</v>
      </c>
    </row>
    <row r="343" spans="1:41" ht="15.75">
      <c r="A343" s="89" t="s">
        <v>683</v>
      </c>
      <c r="B343" s="38"/>
      <c r="C343" s="38"/>
      <c r="D343" s="38"/>
      <c r="E343" s="38"/>
      <c r="F343" s="38"/>
      <c r="G343" s="38"/>
      <c r="H343" s="88"/>
      <c r="I343" s="141"/>
      <c r="J343" s="118"/>
      <c r="K343" s="118"/>
      <c r="L343" s="88"/>
      <c r="M343" s="118"/>
      <c r="N343" s="118"/>
      <c r="O343" s="118"/>
      <c r="P343" s="118"/>
      <c r="Q343" s="160">
        <f t="shared" si="74"/>
        <v>0</v>
      </c>
    </row>
    <row r="344" spans="1:41" ht="15.75">
      <c r="A344" s="89" t="s">
        <v>1000</v>
      </c>
      <c r="B344" s="38"/>
      <c r="C344" s="38"/>
      <c r="D344" s="38"/>
      <c r="E344" s="38"/>
      <c r="F344" s="38"/>
      <c r="G344" s="38"/>
      <c r="H344" s="88"/>
      <c r="I344" s="141"/>
      <c r="J344" s="118"/>
      <c r="K344" s="118"/>
      <c r="L344" s="118"/>
      <c r="M344" s="118"/>
      <c r="N344" s="118"/>
      <c r="O344" s="118"/>
      <c r="P344" s="118"/>
      <c r="Q344" s="160">
        <f t="shared" si="74"/>
        <v>0</v>
      </c>
    </row>
    <row r="345" spans="1:41">
      <c r="A345" s="91"/>
      <c r="B345" s="92"/>
      <c r="C345" s="92"/>
      <c r="D345" s="92"/>
      <c r="E345" s="92"/>
      <c r="F345" s="92"/>
      <c r="G345" s="92"/>
      <c r="H345" s="92"/>
      <c r="I345" s="141"/>
      <c r="J345" s="118"/>
      <c r="K345" s="118"/>
      <c r="L345" s="118"/>
      <c r="M345" s="118"/>
      <c r="N345" s="118"/>
      <c r="O345" s="118"/>
      <c r="P345" s="118"/>
      <c r="Q345" s="160">
        <f t="shared" si="74"/>
        <v>0</v>
      </c>
    </row>
    <row r="346" spans="1:41">
      <c r="A346" s="95"/>
      <c r="B346" s="96" t="s">
        <v>685</v>
      </c>
      <c r="C346" s="96"/>
      <c r="D346" s="96"/>
      <c r="E346" s="96"/>
      <c r="F346" s="96"/>
      <c r="G346" s="96"/>
      <c r="H346" s="97"/>
      <c r="I346" s="141"/>
      <c r="J346" s="118"/>
      <c r="K346" s="118"/>
      <c r="L346" s="118"/>
      <c r="M346" s="118"/>
      <c r="N346" s="118"/>
      <c r="O346" s="118"/>
      <c r="P346" s="118"/>
      <c r="Q346" s="160">
        <f t="shared" si="74"/>
        <v>0</v>
      </c>
    </row>
    <row r="347" spans="1:41">
      <c r="A347" s="95"/>
      <c r="B347" s="96" t="s">
        <v>686</v>
      </c>
      <c r="C347" s="96"/>
      <c r="D347" s="647" t="s">
        <v>687</v>
      </c>
      <c r="E347" s="648"/>
      <c r="F347" s="648"/>
      <c r="G347" s="648"/>
      <c r="H347" s="101" t="s">
        <v>59</v>
      </c>
      <c r="I347" s="141"/>
      <c r="J347" s="118"/>
      <c r="K347" s="118"/>
      <c r="L347" s="118"/>
      <c r="M347" s="118"/>
      <c r="N347" s="118"/>
      <c r="O347" s="118"/>
      <c r="P347" s="118"/>
      <c r="Q347" s="160">
        <f t="shared" si="74"/>
        <v>0</v>
      </c>
    </row>
    <row r="348" spans="1:41" ht="36">
      <c r="A348" s="95"/>
      <c r="B348" s="102" t="s">
        <v>688</v>
      </c>
      <c r="C348" s="103" t="s">
        <v>689</v>
      </c>
      <c r="D348" s="104" t="s">
        <v>690</v>
      </c>
      <c r="E348" s="105" t="s">
        <v>9</v>
      </c>
      <c r="F348" s="102" t="s">
        <v>691</v>
      </c>
      <c r="G348" s="106" t="s">
        <v>692</v>
      </c>
      <c r="H348" s="107" t="s">
        <v>693</v>
      </c>
      <c r="I348" s="141"/>
      <c r="J348" s="118"/>
      <c r="K348" s="118"/>
      <c r="L348" s="118"/>
      <c r="M348" s="118"/>
      <c r="N348" s="118"/>
      <c r="O348" s="118"/>
      <c r="P348" s="118"/>
      <c r="Q348" s="160">
        <f t="shared" si="74"/>
        <v>0</v>
      </c>
    </row>
    <row r="349" spans="1:41" ht="15.75" customHeight="1">
      <c r="A349" s="115" t="s">
        <v>653</v>
      </c>
      <c r="B349" s="111">
        <f>('Pivot Table for Data Exchange'!$N$6)*100</f>
        <v>80.683935984538465</v>
      </c>
      <c r="C349" s="111">
        <f>('Pivot Table for Data Exchange'!$N$9)*100</f>
        <v>1.2392395452259573</v>
      </c>
      <c r="D349" s="173">
        <f>SUM(E349:G349)</f>
        <v>18.076824470235572</v>
      </c>
      <c r="E349" s="111">
        <f>('Pivot Table for Data Exchange'!$N$12)*100</f>
        <v>17.557906777237633</v>
      </c>
      <c r="F349" s="111">
        <f>('Pivot Table for Data Exchange'!$N$15)*100</f>
        <v>8.0610967035784367E-2</v>
      </c>
      <c r="G349" s="113">
        <f>('Pivot Table for Data Exchange'!$N$18)*100</f>
        <v>0.43830672596215475</v>
      </c>
      <c r="H349" s="120">
        <f>('Pivot Table for Data Exchange'!$N$21)*100</f>
        <v>0</v>
      </c>
      <c r="I349" s="118"/>
      <c r="J349" s="143"/>
      <c r="K349" s="143"/>
      <c r="L349" s="143"/>
      <c r="M349" s="143"/>
      <c r="N349" s="143"/>
      <c r="O349" s="143"/>
      <c r="P349" s="143"/>
      <c r="Q349" s="160">
        <f t="shared" si="74"/>
        <v>100</v>
      </c>
      <c r="R349" s="160"/>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row>
    <row r="350" spans="1:41" ht="15.75" customHeight="1">
      <c r="A350" s="118" t="s">
        <v>654</v>
      </c>
      <c r="B350" s="111">
        <f>('Pivot Table for Data Exchange'!$N$42)*100</f>
        <v>72.827995780621663</v>
      </c>
      <c r="C350" s="111">
        <f>('Pivot Table for Data Exchange'!$N$45)*100</f>
        <v>11.510129588904032</v>
      </c>
      <c r="D350" s="173">
        <f t="shared" ref="D350:D352" si="76">SUM(E350:G350)</f>
        <v>15.647203634885868</v>
      </c>
      <c r="E350" s="111">
        <f>('Pivot Table for Data Exchange'!$N$48)*100</f>
        <v>12.742639928288174</v>
      </c>
      <c r="F350" s="111">
        <f>('Pivot Table for Data Exchange'!$N$51)*100</f>
        <v>1.5879885624918391</v>
      </c>
      <c r="G350" s="119">
        <f>('Pivot Table for Data Exchange'!$N$54)*100</f>
        <v>1.3165751441058542</v>
      </c>
      <c r="H350" s="111">
        <f>('Pivot Table for Data Exchange'!$N$57)*100</f>
        <v>1.4670995588431627E-2</v>
      </c>
      <c r="I350" s="118"/>
      <c r="J350" s="143"/>
      <c r="K350" s="143"/>
      <c r="L350" s="143"/>
      <c r="M350" s="143"/>
      <c r="N350" s="143"/>
      <c r="O350" s="143"/>
      <c r="P350" s="143"/>
      <c r="Q350" s="160">
        <f t="shared" si="74"/>
        <v>100</v>
      </c>
      <c r="R350" s="160"/>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row>
    <row r="351" spans="1:41" ht="15.75" customHeight="1">
      <c r="A351" s="118" t="s">
        <v>655</v>
      </c>
      <c r="B351" s="111">
        <f>('Pivot Table for Data Exchange'!$N$78)*100</f>
        <v>0</v>
      </c>
      <c r="C351" s="111">
        <f>('Pivot Table for Data Exchange'!$N$81)*100</f>
        <v>0</v>
      </c>
      <c r="D351" s="173">
        <f t="shared" si="76"/>
        <v>0</v>
      </c>
      <c r="E351" s="111">
        <f>('Pivot Table for Data Exchange'!$N$84)*100</f>
        <v>0</v>
      </c>
      <c r="F351" s="111">
        <f>('Pivot Table for Data Exchange'!$N$87)*100</f>
        <v>0</v>
      </c>
      <c r="G351" s="119">
        <f>('Pivot Table for Data Exchange'!$N$90)*100</f>
        <v>0</v>
      </c>
      <c r="H351" s="111">
        <f>('Pivot Table for Data Exchange'!$N$93)*100</f>
        <v>0</v>
      </c>
      <c r="I351" s="118"/>
      <c r="J351" s="143"/>
      <c r="K351" s="143"/>
      <c r="L351" s="143"/>
      <c r="M351" s="143"/>
      <c r="N351" s="143"/>
      <c r="O351" s="143"/>
      <c r="P351" s="143"/>
      <c r="Q351" s="160">
        <f t="shared" si="74"/>
        <v>0</v>
      </c>
      <c r="R351" s="160"/>
      <c r="S351" s="116"/>
      <c r="T351" s="132"/>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row>
    <row r="352" spans="1:41" ht="15.75" customHeight="1">
      <c r="A352" s="118" t="s">
        <v>695</v>
      </c>
      <c r="B352" s="111">
        <f>('Pivot Table for Data Exchange'!$N$114)*100</f>
        <v>71.492442826620234</v>
      </c>
      <c r="C352" s="111">
        <f>('Pivot Table for Data Exchange'!$N$117)*100</f>
        <v>6.6590171717971032</v>
      </c>
      <c r="D352" s="173">
        <f t="shared" si="76"/>
        <v>21.231304898314473</v>
      </c>
      <c r="E352" s="111">
        <f>('Pivot Table for Data Exchange'!$N$120)*100</f>
        <v>13.153833979583762</v>
      </c>
      <c r="F352" s="111">
        <f>('Pivot Table for Data Exchange'!$N$123)*100</f>
        <v>1.3353644061090448</v>
      </c>
      <c r="G352" s="119">
        <f>('Pivot Table for Data Exchange'!$N$126)*100</f>
        <v>6.7421065126216666</v>
      </c>
      <c r="H352" s="111">
        <f>('Pivot Table for Data Exchange'!$N$129)*100</f>
        <v>0.61723510326818076</v>
      </c>
      <c r="I352" s="118"/>
      <c r="J352" s="143"/>
      <c r="K352" s="143"/>
      <c r="L352" s="143"/>
      <c r="M352" s="143"/>
      <c r="N352" s="143"/>
      <c r="O352" s="143"/>
      <c r="P352" s="143"/>
      <c r="Q352" s="160">
        <f t="shared" si="74"/>
        <v>100</v>
      </c>
      <c r="R352" s="160"/>
      <c r="S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row>
    <row r="353" spans="1:41" ht="15.75" customHeight="1">
      <c r="A353" s="118"/>
      <c r="B353" s="111"/>
      <c r="C353" s="111"/>
      <c r="D353" s="173"/>
      <c r="E353" s="111"/>
      <c r="F353" s="111"/>
      <c r="G353" s="119"/>
      <c r="H353" s="111"/>
      <c r="I353" s="118"/>
      <c r="J353" s="143"/>
      <c r="K353" s="143"/>
      <c r="L353" s="143"/>
      <c r="M353" s="143"/>
      <c r="N353" s="143"/>
      <c r="O353" s="143"/>
      <c r="P353" s="143"/>
      <c r="Q353" s="160">
        <f t="shared" si="74"/>
        <v>0</v>
      </c>
      <c r="R353" s="160"/>
      <c r="S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row>
    <row r="354" spans="1:41" ht="15.75" customHeight="1">
      <c r="A354" s="118" t="s">
        <v>657</v>
      </c>
      <c r="B354" s="111">
        <f>('Pivot Table for Data Exchange'!$N$150)*100</f>
        <v>0</v>
      </c>
      <c r="C354" s="111">
        <f>('Pivot Table for Data Exchange'!$N$153)*100</f>
        <v>0</v>
      </c>
      <c r="D354" s="173">
        <f t="shared" ref="D354:D357" si="77">SUM(E354:G354)</f>
        <v>0</v>
      </c>
      <c r="E354" s="111">
        <f>('Pivot Table for Data Exchange'!$N$156)*100</f>
        <v>0</v>
      </c>
      <c r="F354" s="111">
        <f>('Pivot Table for Data Exchange'!$N$159)*100</f>
        <v>0</v>
      </c>
      <c r="G354" s="119">
        <f>('Pivot Table for Data Exchange'!$N$162)*100</f>
        <v>0</v>
      </c>
      <c r="H354" s="120">
        <f>('Pivot Table for Data Exchange'!$N$165)*100</f>
        <v>0</v>
      </c>
      <c r="I354" s="118"/>
      <c r="J354" s="143"/>
      <c r="K354" s="143"/>
      <c r="L354" s="143"/>
      <c r="M354" s="143"/>
      <c r="N354" s="143"/>
      <c r="O354" s="143"/>
      <c r="P354" s="143"/>
      <c r="Q354" s="160">
        <f t="shared" si="74"/>
        <v>0</v>
      </c>
      <c r="R354" s="160"/>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row>
    <row r="355" spans="1:41" ht="15.75" customHeight="1">
      <c r="A355" s="118" t="s">
        <v>658</v>
      </c>
      <c r="B355" s="111">
        <f>('Pivot Table for Data Exchange'!$N$186)*100</f>
        <v>71.836530203263678</v>
      </c>
      <c r="C355" s="111">
        <f>('Pivot Table for Data Exchange'!$N$189)*100</f>
        <v>2.3624630212806563</v>
      </c>
      <c r="D355" s="173">
        <f t="shared" si="77"/>
        <v>25.801006775455672</v>
      </c>
      <c r="E355" s="111">
        <f>('Pivot Table for Data Exchange'!$N$192)*100</f>
        <v>24.790056303082356</v>
      </c>
      <c r="F355" s="111">
        <f>('Pivot Table for Data Exchange'!$N$195)*100</f>
        <v>1.010950472373318</v>
      </c>
      <c r="G355" s="119">
        <f>('Pivot Table for Data Exchange'!$N$198)*100</f>
        <v>0</v>
      </c>
      <c r="H355" s="111">
        <f>('Pivot Table for Data Exchange'!$N$201)*100</f>
        <v>0</v>
      </c>
      <c r="I355" s="118"/>
      <c r="J355" s="143"/>
      <c r="K355" s="143"/>
      <c r="L355" s="143"/>
      <c r="M355" s="143"/>
      <c r="N355" s="143"/>
      <c r="O355" s="143"/>
      <c r="P355" s="143"/>
      <c r="Q355" s="160">
        <f t="shared" si="74"/>
        <v>100.00000000000001</v>
      </c>
      <c r="R355" s="160"/>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row>
    <row r="356" spans="1:41" ht="15.75" customHeight="1">
      <c r="A356" s="118" t="s">
        <v>659</v>
      </c>
      <c r="B356" s="111">
        <f>('Pivot Table for Data Exchange'!$N$222)*100</f>
        <v>0</v>
      </c>
      <c r="C356" s="111">
        <f>('Pivot Table for Data Exchange'!$N$225)*100</f>
        <v>0</v>
      </c>
      <c r="D356" s="173">
        <f t="shared" si="77"/>
        <v>0</v>
      </c>
      <c r="E356" s="111">
        <f>('Pivot Table for Data Exchange'!$N$228)*100</f>
        <v>0</v>
      </c>
      <c r="F356" s="111">
        <f>('Pivot Table for Data Exchange'!$N$231)*100</f>
        <v>0</v>
      </c>
      <c r="G356" s="119">
        <f>('Pivot Table for Data Exchange'!$N$234)*100</f>
        <v>0</v>
      </c>
      <c r="H356" s="111">
        <f>('Pivot Table for Data Exchange'!$N$237)*100</f>
        <v>0</v>
      </c>
      <c r="I356" s="118"/>
      <c r="J356" s="143"/>
      <c r="K356" s="143"/>
      <c r="L356" s="143"/>
      <c r="M356" s="143"/>
      <c r="N356" s="143"/>
      <c r="O356" s="143"/>
      <c r="P356" s="143"/>
      <c r="Q356" s="160">
        <f t="shared" si="74"/>
        <v>0</v>
      </c>
      <c r="R356" s="160"/>
      <c r="S356" s="116"/>
      <c r="T356" s="132"/>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row>
    <row r="357" spans="1:41" ht="15.75" customHeight="1">
      <c r="A357" s="118" t="s">
        <v>700</v>
      </c>
      <c r="B357" s="111">
        <f>('Pivot Table for Data Exchange'!$N$258)*100</f>
        <v>78.856887766345309</v>
      </c>
      <c r="C357" s="111">
        <f>('Pivot Table for Data Exchange'!$N$261)*100</f>
        <v>9.3558227996688803</v>
      </c>
      <c r="D357" s="173">
        <f t="shared" si="77"/>
        <v>11.787289433985812</v>
      </c>
      <c r="E357" s="111">
        <f>('Pivot Table for Data Exchange'!$N$264)*100</f>
        <v>10.718177220404247</v>
      </c>
      <c r="F357" s="120">
        <f>('Pivot Table for Data Exchange'!$N$267)*100</f>
        <v>1.0691122135815652</v>
      </c>
      <c r="G357" s="121">
        <f>('Pivot Table for Data Exchange'!$N$270)*100</f>
        <v>0</v>
      </c>
      <c r="H357" s="111">
        <f>('Pivot Table for Data Exchange'!$N$273)*100</f>
        <v>0</v>
      </c>
      <c r="I357" s="118"/>
      <c r="J357" s="143"/>
      <c r="K357" s="143"/>
      <c r="L357" s="143"/>
      <c r="M357" s="143"/>
      <c r="N357" s="143"/>
      <c r="O357" s="143"/>
      <c r="P357" s="143"/>
      <c r="Q357" s="160">
        <f t="shared" si="74"/>
        <v>100</v>
      </c>
      <c r="R357" s="160"/>
      <c r="S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row>
    <row r="358" spans="1:41" ht="12.75" customHeight="1">
      <c r="A358" s="118"/>
      <c r="B358" s="111"/>
      <c r="C358" s="111"/>
      <c r="D358" s="173"/>
      <c r="E358" s="111"/>
      <c r="F358" s="111"/>
      <c r="G358" s="119"/>
      <c r="H358" s="111"/>
      <c r="I358" s="118"/>
      <c r="J358" s="143"/>
      <c r="K358" s="143"/>
      <c r="L358" s="143"/>
      <c r="M358" s="143"/>
      <c r="N358" s="143"/>
      <c r="O358" s="143"/>
      <c r="P358" s="143"/>
      <c r="Q358" s="160">
        <f t="shared" si="74"/>
        <v>0</v>
      </c>
      <c r="R358" s="160"/>
      <c r="S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row>
    <row r="359" spans="1:41" ht="15.75" customHeight="1">
      <c r="A359" s="118" t="s">
        <v>703</v>
      </c>
      <c r="B359" s="111">
        <f>('Pivot Table for Data Exchange'!$N$294)*100</f>
        <v>91.819948186528507</v>
      </c>
      <c r="C359" s="111">
        <f>('Pivot Table for Data Exchange'!$N$297)*100</f>
        <v>0</v>
      </c>
      <c r="D359" s="173">
        <f t="shared" ref="D359:D361" si="78">SUM(E359:G359)</f>
        <v>8.1800518134715023</v>
      </c>
      <c r="E359" s="111">
        <f>('Pivot Table for Data Exchange'!$N$300)*100</f>
        <v>8.1800518134715023</v>
      </c>
      <c r="F359" s="111">
        <f>('Pivot Table for Data Exchange'!$N$303)*100</f>
        <v>0</v>
      </c>
      <c r="G359" s="119">
        <f>('Pivot Table for Data Exchange'!$N$306)*100</f>
        <v>0</v>
      </c>
      <c r="H359" s="111">
        <f>('Pivot Table for Data Exchange'!$N$309)*100</f>
        <v>0</v>
      </c>
      <c r="I359" s="148"/>
      <c r="J359" s="143"/>
      <c r="K359" s="143"/>
      <c r="L359" s="143"/>
      <c r="M359" s="143"/>
      <c r="N359" s="143"/>
      <c r="O359" s="143"/>
      <c r="P359" s="143"/>
      <c r="Q359" s="160">
        <f t="shared" si="74"/>
        <v>100.00000000000001</v>
      </c>
      <c r="R359" s="160"/>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row>
    <row r="360" spans="1:41" ht="15.75" customHeight="1">
      <c r="A360" s="118" t="s">
        <v>662</v>
      </c>
      <c r="B360" s="111">
        <f>('Pivot Table for Data Exchange'!$N$330)*100</f>
        <v>70.346212656632616</v>
      </c>
      <c r="C360" s="111">
        <f>('Pivot Table for Data Exchange'!$N$333)*100</f>
        <v>7.0270428079463114</v>
      </c>
      <c r="D360" s="173">
        <f t="shared" si="78"/>
        <v>22.626744535421082</v>
      </c>
      <c r="E360" s="111">
        <f>('Pivot Table for Data Exchange'!$N$336)*100</f>
        <v>20.314159308182912</v>
      </c>
      <c r="F360" s="120">
        <f>('Pivot Table for Data Exchange'!$N$339)*100</f>
        <v>1.3372389355125556</v>
      </c>
      <c r="G360" s="119">
        <f>('Pivot Table for Data Exchange'!$N$342)*100</f>
        <v>0.97534629172561371</v>
      </c>
      <c r="H360" s="111">
        <f>('Pivot Table for Data Exchange'!$N$345)*100</f>
        <v>0</v>
      </c>
      <c r="I360" s="118"/>
      <c r="J360" s="143"/>
      <c r="K360" s="143"/>
      <c r="L360" s="143"/>
      <c r="M360" s="143"/>
      <c r="N360" s="143"/>
      <c r="O360" s="143"/>
      <c r="P360" s="143"/>
      <c r="Q360" s="160">
        <f t="shared" si="74"/>
        <v>100.00000000000001</v>
      </c>
      <c r="R360" s="160"/>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row>
    <row r="361" spans="1:41" ht="15.75" customHeight="1">
      <c r="A361" s="118" t="s">
        <v>663</v>
      </c>
      <c r="B361" s="111">
        <f>('Pivot Table for Data Exchange'!$N$366)*100</f>
        <v>67.10316949977431</v>
      </c>
      <c r="C361" s="111">
        <f>('Pivot Table for Data Exchange'!$N$369)*100</f>
        <v>8.49478390461997</v>
      </c>
      <c r="D361" s="173">
        <f t="shared" si="78"/>
        <v>24.402046595605722</v>
      </c>
      <c r="E361" s="111">
        <f>('Pivot Table for Data Exchange'!$N$372)*100</f>
        <v>19.466109879690642</v>
      </c>
      <c r="F361" s="111">
        <f>('Pivot Table for Data Exchange'!$N$375)*100</f>
        <v>4.8171655810833647</v>
      </c>
      <c r="G361" s="119">
        <f>('Pivot Table for Data Exchange'!$N$378)*100</f>
        <v>0.11877113483171567</v>
      </c>
      <c r="H361" s="111">
        <f>('Pivot Table for Data Exchange'!$N$381)*100</f>
        <v>0</v>
      </c>
      <c r="I361" s="118"/>
      <c r="J361" s="143"/>
      <c r="K361" s="143"/>
      <c r="L361" s="143"/>
      <c r="M361" s="143"/>
      <c r="N361" s="143"/>
      <c r="O361" s="143"/>
      <c r="P361" s="143"/>
      <c r="Q361" s="160">
        <f t="shared" si="74"/>
        <v>100</v>
      </c>
      <c r="R361" s="160"/>
      <c r="S361" s="116"/>
      <c r="T361" s="132"/>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row>
    <row r="362" spans="1:41" ht="15.75" customHeight="1">
      <c r="A362" s="118" t="s">
        <v>664</v>
      </c>
      <c r="B362" s="111">
        <f>('Pivot Table for Data Exchange'!$N$402)*100</f>
        <v>85.208316580445128</v>
      </c>
      <c r="C362" s="111">
        <f>('Pivot Table for Data Exchange'!$N$405)*100</f>
        <v>3.4528819435137281</v>
      </c>
      <c r="D362" s="173">
        <f>SUM(E362:G362)</f>
        <v>11.338801476041137</v>
      </c>
      <c r="E362" s="111">
        <f>('Pivot Table for Data Exchange'!$N$408)*100</f>
        <v>8.3067520840592923</v>
      </c>
      <c r="F362" s="111">
        <f>('Pivot Table for Data Exchange'!$N$411)*100</f>
        <v>2.1220325050705409</v>
      </c>
      <c r="G362" s="119">
        <f>('Pivot Table for Data Exchange'!$N$414)*100</f>
        <v>0.91001688691130356</v>
      </c>
      <c r="H362" s="111">
        <f>('Pivot Table for Data Exchange'!$N$417)*100</f>
        <v>0</v>
      </c>
      <c r="I362" s="118"/>
      <c r="J362" s="143"/>
      <c r="K362" s="143"/>
      <c r="L362" s="143"/>
      <c r="M362" s="143"/>
      <c r="N362" s="143"/>
      <c r="O362" s="143"/>
      <c r="P362" s="143"/>
      <c r="Q362" s="160">
        <f t="shared" si="74"/>
        <v>100</v>
      </c>
      <c r="R362" s="160"/>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row>
    <row r="363" spans="1:41" ht="12" customHeight="1">
      <c r="A363" s="118"/>
      <c r="B363" s="111"/>
      <c r="C363" s="111"/>
      <c r="D363" s="173"/>
      <c r="E363" s="111"/>
      <c r="F363" s="111"/>
      <c r="G363" s="119"/>
      <c r="H363" s="111"/>
      <c r="I363" s="118"/>
      <c r="J363" s="143"/>
      <c r="K363" s="143"/>
      <c r="L363" s="143"/>
      <c r="M363" s="143"/>
      <c r="N363" s="143"/>
      <c r="O363" s="143"/>
      <c r="P363" s="143"/>
      <c r="Q363" s="160">
        <f t="shared" si="74"/>
        <v>0</v>
      </c>
      <c r="R363" s="160"/>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row>
    <row r="364" spans="1:41" ht="15.75" customHeight="1">
      <c r="A364" s="118" t="s">
        <v>665</v>
      </c>
      <c r="B364" s="111">
        <f>('Pivot Table for Data Exchange'!$N$438)*100</f>
        <v>79.541960022659225</v>
      </c>
      <c r="C364" s="111">
        <f>('Pivot Table for Data Exchange'!$N$441)*100</f>
        <v>0.77041353079226349</v>
      </c>
      <c r="D364" s="173">
        <f>SUM(E364:G364)</f>
        <v>19.328315934288256</v>
      </c>
      <c r="E364" s="111">
        <f>('Pivot Table for Data Exchange'!$N$444)*100</f>
        <v>9.6495913247551997</v>
      </c>
      <c r="F364" s="111">
        <f>('Pivot Table for Data Exchange'!$N$447)*100</f>
        <v>3.3988832240835154E-2</v>
      </c>
      <c r="G364" s="119">
        <f>('Pivot Table for Data Exchange'!$N$450)*100</f>
        <v>9.6447357772922224</v>
      </c>
      <c r="H364" s="111">
        <f>('Pivot Table for Data Exchange'!$N$453)*100</f>
        <v>0.35931051226025734</v>
      </c>
      <c r="I364" s="118"/>
      <c r="J364" s="143"/>
      <c r="K364" s="143"/>
      <c r="L364" s="143"/>
      <c r="M364" s="143"/>
      <c r="N364" s="143"/>
      <c r="O364" s="143"/>
      <c r="P364" s="143"/>
      <c r="Q364" s="160">
        <f t="shared" si="74"/>
        <v>100</v>
      </c>
      <c r="R364" s="160"/>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row>
    <row r="365" spans="1:41" ht="15.75" customHeight="1">
      <c r="A365" s="118" t="s">
        <v>666</v>
      </c>
      <c r="B365" s="111">
        <f>('Pivot Table for Data Exchange'!$N$474)*100</f>
        <v>63.813072722585481</v>
      </c>
      <c r="C365" s="111">
        <f>('Pivot Table for Data Exchange'!$N$477)*100</f>
        <v>13.59136609716656</v>
      </c>
      <c r="D365" s="173">
        <f>SUM(E365:G365)</f>
        <v>22.595561180247959</v>
      </c>
      <c r="E365" s="111">
        <f>('Pivot Table for Data Exchange'!$N$480)*100</f>
        <v>19.684079776887202</v>
      </c>
      <c r="F365" s="111">
        <f>('Pivot Table for Data Exchange'!$N$483)*100</f>
        <v>1.8291968407977688</v>
      </c>
      <c r="G365" s="119">
        <f>('Pivot Table for Data Exchange'!$N$486)*100</f>
        <v>1.0822845625629847</v>
      </c>
      <c r="H365" s="111">
        <f>('Pivot Table for Data Exchange'!$N$489)*100</f>
        <v>0</v>
      </c>
      <c r="I365" s="118"/>
      <c r="J365" s="143"/>
      <c r="K365" s="143"/>
      <c r="L365" s="143"/>
      <c r="M365" s="143"/>
      <c r="N365" s="143"/>
      <c r="O365" s="143"/>
      <c r="P365" s="143"/>
      <c r="Q365" s="160">
        <f t="shared" si="74"/>
        <v>100</v>
      </c>
      <c r="R365" s="160"/>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row>
    <row r="366" spans="1:41" ht="15.75" customHeight="1">
      <c r="A366" s="118" t="s">
        <v>667</v>
      </c>
      <c r="B366" s="111">
        <f>('Pivot Table for Data Exchange'!$N$510)*100</f>
        <v>0</v>
      </c>
      <c r="C366" s="111">
        <f>('Pivot Table for Data Exchange'!$N$513)*100</f>
        <v>0</v>
      </c>
      <c r="D366" s="173">
        <f t="shared" ref="D366" si="79">SUM(E366:G366)</f>
        <v>0</v>
      </c>
      <c r="E366" s="111">
        <f>('Pivot Table for Data Exchange'!$N$516)*100</f>
        <v>0</v>
      </c>
      <c r="F366" s="111">
        <f>('Pivot Table for Data Exchange'!$N$519)*100</f>
        <v>0</v>
      </c>
      <c r="G366" s="119">
        <f>('Pivot Table for Data Exchange'!$N$522)*100</f>
        <v>0</v>
      </c>
      <c r="H366" s="111">
        <f>('Pivot Table for Data Exchange'!$N$525)*100</f>
        <v>0</v>
      </c>
      <c r="I366" s="118"/>
      <c r="J366" s="143"/>
      <c r="K366" s="143"/>
      <c r="L366" s="143"/>
      <c r="M366" s="143"/>
      <c r="N366" s="143"/>
      <c r="O366" s="143"/>
      <c r="P366" s="143"/>
      <c r="Q366" s="160">
        <f t="shared" si="74"/>
        <v>0</v>
      </c>
      <c r="R366" s="160"/>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row>
    <row r="367" spans="1:41" ht="15.75" customHeight="1">
      <c r="A367" s="91" t="s">
        <v>705</v>
      </c>
      <c r="B367" s="122">
        <f>('Pivot Table for Data Exchange'!$N$546)*100</f>
        <v>65.433351003099006</v>
      </c>
      <c r="C367" s="122">
        <f>('Pivot Table for Data Exchange'!$N$549)*100</f>
        <v>19.900913390963954</v>
      </c>
      <c r="D367" s="174">
        <f>SUM(E367:G367)</f>
        <v>14.643563448050887</v>
      </c>
      <c r="E367" s="122">
        <f>('Pivot Table for Data Exchange'!$N$552)*100</f>
        <v>12.157478388517371</v>
      </c>
      <c r="F367" s="122">
        <f>('Pivot Table for Data Exchange'!$N$555)*100</f>
        <v>2.4440344152666773</v>
      </c>
      <c r="G367" s="124">
        <f>('Pivot Table for Data Exchange'!$N$558)*100</f>
        <v>4.2050644266840645E-2</v>
      </c>
      <c r="H367" s="125">
        <f>('Pivot Table for Data Exchange'!$N$561)*100</f>
        <v>2.217215788615234E-2</v>
      </c>
      <c r="I367" s="118"/>
      <c r="J367" s="143"/>
      <c r="K367" s="143"/>
      <c r="L367" s="143"/>
      <c r="M367" s="143"/>
      <c r="N367" s="143"/>
      <c r="O367" s="143"/>
      <c r="P367" s="143"/>
      <c r="Q367" s="160">
        <f t="shared" si="74"/>
        <v>99.999999999999986</v>
      </c>
      <c r="R367" s="160"/>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row>
    <row r="368" spans="1:41" s="60" customFormat="1" ht="18" customHeight="1">
      <c r="A368" s="58" t="s">
        <v>697</v>
      </c>
      <c r="B368" s="126"/>
      <c r="C368" s="126"/>
      <c r="D368" s="127"/>
      <c r="E368" s="126"/>
      <c r="F368" s="127"/>
      <c r="G368" s="127"/>
      <c r="H368" s="126"/>
      <c r="I368" s="58"/>
      <c r="J368" s="126"/>
      <c r="K368" s="126"/>
      <c r="L368" s="127"/>
      <c r="M368" s="126"/>
      <c r="N368" s="127"/>
      <c r="O368" s="127"/>
      <c r="P368" s="126"/>
      <c r="Q368" s="160">
        <f t="shared" si="74"/>
        <v>0</v>
      </c>
      <c r="R368" s="164"/>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row>
    <row r="369" spans="1:41" s="60" customFormat="1" ht="27.75" customHeight="1">
      <c r="A369" s="643" t="s">
        <v>704</v>
      </c>
      <c r="B369" s="655"/>
      <c r="C369" s="655"/>
      <c r="D369" s="655"/>
      <c r="E369" s="655"/>
      <c r="F369" s="655"/>
      <c r="G369" s="655"/>
      <c r="H369" s="655"/>
      <c r="I369" s="58"/>
      <c r="P369" s="136"/>
      <c r="Q369" s="160">
        <f t="shared" si="74"/>
        <v>0</v>
      </c>
      <c r="R369" s="169"/>
    </row>
    <row r="370" spans="1:41" s="60" customFormat="1" ht="13.5" customHeight="1">
      <c r="A370" s="134"/>
      <c r="H370" s="62"/>
      <c r="I370" s="134"/>
      <c r="Q370" s="160">
        <f t="shared" si="74"/>
        <v>0</v>
      </c>
      <c r="R370" s="169"/>
    </row>
    <row r="371" spans="1:41" s="60" customFormat="1">
      <c r="A371" s="62"/>
      <c r="B371" s="126"/>
      <c r="C371" s="126"/>
      <c r="D371" s="127"/>
      <c r="E371" s="126"/>
      <c r="F371" s="127"/>
      <c r="G371" s="127"/>
      <c r="H371" s="64" t="s">
        <v>1034</v>
      </c>
      <c r="I371" s="147"/>
      <c r="J371" s="62"/>
      <c r="K371" s="62"/>
      <c r="L371" s="62"/>
      <c r="M371" s="62"/>
      <c r="N371" s="62"/>
      <c r="O371" s="62"/>
      <c r="P371" s="62"/>
      <c r="Q371" s="160">
        <f t="shared" si="74"/>
        <v>0</v>
      </c>
      <c r="R371" s="164"/>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row>
    <row r="372" spans="1:41" ht="18">
      <c r="A372" s="31" t="s">
        <v>1023</v>
      </c>
      <c r="B372" s="86"/>
      <c r="C372" s="86"/>
      <c r="D372" s="86"/>
      <c r="E372" s="86"/>
      <c r="F372" s="86"/>
      <c r="G372" s="86"/>
      <c r="H372" s="87"/>
      <c r="I372" s="141"/>
      <c r="J372" s="118"/>
      <c r="K372" s="118"/>
      <c r="L372" s="118"/>
      <c r="M372" s="118"/>
      <c r="N372" s="118"/>
      <c r="O372" s="118"/>
      <c r="P372" s="118"/>
      <c r="Q372" s="160">
        <f t="shared" si="74"/>
        <v>0</v>
      </c>
    </row>
    <row r="373" spans="1:41">
      <c r="A373" s="37"/>
      <c r="B373" s="38"/>
      <c r="C373" s="38"/>
      <c r="D373" s="38"/>
      <c r="E373" s="38"/>
      <c r="F373" s="38"/>
      <c r="G373" s="38"/>
      <c r="H373" s="88"/>
      <c r="I373" s="141"/>
      <c r="J373" s="118"/>
      <c r="K373" s="118"/>
      <c r="L373" s="118"/>
      <c r="M373" s="118"/>
      <c r="N373" s="118"/>
      <c r="O373" s="118"/>
      <c r="P373" s="118"/>
      <c r="Q373" s="160">
        <f t="shared" si="74"/>
        <v>0</v>
      </c>
    </row>
    <row r="374" spans="1:41" ht="15.75">
      <c r="A374" s="89" t="s">
        <v>683</v>
      </c>
      <c r="B374" s="38"/>
      <c r="C374" s="38"/>
      <c r="D374" s="38"/>
      <c r="E374" s="38"/>
      <c r="F374" s="38"/>
      <c r="G374" s="38"/>
      <c r="H374" s="88"/>
      <c r="I374" s="141"/>
      <c r="J374" s="118"/>
      <c r="K374" s="118"/>
      <c r="L374" s="118"/>
      <c r="M374" s="118"/>
      <c r="N374" s="118"/>
      <c r="O374" s="118"/>
      <c r="P374" s="118"/>
      <c r="Q374" s="160">
        <f t="shared" si="74"/>
        <v>0</v>
      </c>
    </row>
    <row r="375" spans="1:41" ht="15.75">
      <c r="A375" s="89" t="s">
        <v>1001</v>
      </c>
      <c r="B375" s="38"/>
      <c r="C375" s="38"/>
      <c r="D375" s="38"/>
      <c r="E375" s="38"/>
      <c r="F375" s="38"/>
      <c r="G375" s="38"/>
      <c r="H375" s="88"/>
      <c r="I375" s="141"/>
      <c r="J375" s="118"/>
      <c r="K375" s="118"/>
      <c r="L375" s="118"/>
      <c r="M375" s="118"/>
      <c r="N375" s="118"/>
      <c r="O375" s="118"/>
      <c r="P375" s="118"/>
      <c r="Q375" s="160">
        <f t="shared" si="74"/>
        <v>0</v>
      </c>
    </row>
    <row r="376" spans="1:41">
      <c r="A376" s="91"/>
      <c r="B376" s="92"/>
      <c r="C376" s="92"/>
      <c r="D376" s="92"/>
      <c r="E376" s="92"/>
      <c r="F376" s="92"/>
      <c r="G376" s="92"/>
      <c r="H376" s="92"/>
      <c r="I376" s="141"/>
      <c r="J376" s="118"/>
      <c r="K376" s="118"/>
      <c r="L376" s="118"/>
      <c r="M376" s="118"/>
      <c r="N376" s="118"/>
      <c r="O376" s="118"/>
      <c r="P376" s="118"/>
      <c r="Q376" s="160">
        <f t="shared" si="74"/>
        <v>0</v>
      </c>
    </row>
    <row r="377" spans="1:41">
      <c r="A377" s="95"/>
      <c r="B377" s="96" t="s">
        <v>685</v>
      </c>
      <c r="C377" s="96"/>
      <c r="D377" s="96"/>
      <c r="E377" s="96"/>
      <c r="F377" s="96"/>
      <c r="G377" s="96"/>
      <c r="H377" s="97"/>
      <c r="I377" s="141"/>
      <c r="J377" s="118"/>
      <c r="K377" s="118"/>
      <c r="L377" s="118"/>
      <c r="M377" s="118"/>
      <c r="N377" s="118"/>
      <c r="O377" s="118"/>
      <c r="P377" s="118"/>
      <c r="Q377" s="160">
        <f t="shared" si="74"/>
        <v>0</v>
      </c>
    </row>
    <row r="378" spans="1:41">
      <c r="A378" s="95"/>
      <c r="B378" s="96" t="s">
        <v>686</v>
      </c>
      <c r="C378" s="96"/>
      <c r="D378" s="647" t="s">
        <v>687</v>
      </c>
      <c r="E378" s="648"/>
      <c r="F378" s="648"/>
      <c r="G378" s="648"/>
      <c r="H378" s="101" t="s">
        <v>59</v>
      </c>
      <c r="I378" s="141"/>
      <c r="J378" s="118"/>
      <c r="K378" s="118"/>
      <c r="L378" s="118"/>
      <c r="M378" s="118"/>
      <c r="N378" s="118"/>
      <c r="O378" s="118"/>
      <c r="P378" s="118"/>
      <c r="Q378" s="160">
        <f t="shared" si="74"/>
        <v>0</v>
      </c>
    </row>
    <row r="379" spans="1:41" ht="36">
      <c r="A379" s="95"/>
      <c r="B379" s="102" t="s">
        <v>688</v>
      </c>
      <c r="C379" s="103" t="s">
        <v>689</v>
      </c>
      <c r="D379" s="104" t="s">
        <v>690</v>
      </c>
      <c r="E379" s="105" t="s">
        <v>9</v>
      </c>
      <c r="F379" s="102" t="s">
        <v>691</v>
      </c>
      <c r="G379" s="106" t="s">
        <v>692</v>
      </c>
      <c r="H379" s="107" t="s">
        <v>693</v>
      </c>
      <c r="I379" s="141"/>
      <c r="J379" s="118"/>
      <c r="K379" s="118"/>
      <c r="L379" s="118"/>
      <c r="M379" s="118"/>
      <c r="N379" s="118"/>
      <c r="O379" s="118"/>
      <c r="P379" s="118"/>
      <c r="Q379" s="160">
        <f t="shared" si="74"/>
        <v>0</v>
      </c>
    </row>
    <row r="380" spans="1:41" ht="15.75" customHeight="1">
      <c r="A380" s="115" t="s">
        <v>653</v>
      </c>
      <c r="B380" s="111">
        <f>('Pivot Table for Data Exchange'!$R$6)*100</f>
        <v>83.364497535194943</v>
      </c>
      <c r="C380" s="111">
        <f>('Pivot Table for Data Exchange'!$R$9)*100</f>
        <v>9.6026950595725609</v>
      </c>
      <c r="D380" s="173">
        <f>SUM(E380:G380)</f>
        <v>7.0328074052324947</v>
      </c>
      <c r="E380" s="111">
        <f>('Pivot Table for Data Exchange'!$R$12)*100</f>
        <v>3.956050748713511</v>
      </c>
      <c r="F380" s="111">
        <f>('Pivot Table for Data Exchange'!$R$15)*100</f>
        <v>0</v>
      </c>
      <c r="G380" s="113">
        <f>('Pivot Table for Data Exchange'!$R$18)*100</f>
        <v>3.0767566565189841</v>
      </c>
      <c r="H380" s="120">
        <f>('Pivot Table for Data Exchange'!$R$21)*100</f>
        <v>0</v>
      </c>
      <c r="I380" s="118"/>
      <c r="J380" s="143"/>
      <c r="K380" s="143"/>
      <c r="L380" s="143"/>
      <c r="M380" s="143"/>
      <c r="N380" s="143"/>
      <c r="O380" s="143"/>
      <c r="P380" s="143"/>
      <c r="Q380" s="160">
        <f t="shared" si="74"/>
        <v>100</v>
      </c>
      <c r="R380" s="160"/>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row>
    <row r="381" spans="1:41" ht="15.75" customHeight="1">
      <c r="A381" s="118" t="s">
        <v>654</v>
      </c>
      <c r="B381" s="111">
        <f>('Pivot Table for Data Exchange'!$R$42)*100</f>
        <v>0</v>
      </c>
      <c r="C381" s="111">
        <f>('Pivot Table for Data Exchange'!$R$45)*100</f>
        <v>0</v>
      </c>
      <c r="D381" s="173">
        <f t="shared" ref="D381:D383" si="80">SUM(E381:G381)</f>
        <v>0</v>
      </c>
      <c r="E381" s="111">
        <f>('Pivot Table for Data Exchange'!$R$48)*100</f>
        <v>0</v>
      </c>
      <c r="F381" s="111">
        <f>('Pivot Table for Data Exchange'!$R$51)*100</f>
        <v>0</v>
      </c>
      <c r="G381" s="119">
        <f>('Pivot Table for Data Exchange'!$R$54)*100</f>
        <v>0</v>
      </c>
      <c r="H381" s="111">
        <f>('Pivot Table for Data Exchange'!$R$57)*100</f>
        <v>0</v>
      </c>
      <c r="I381" s="118"/>
      <c r="J381" s="143"/>
      <c r="K381" s="143"/>
      <c r="L381" s="143"/>
      <c r="M381" s="143"/>
      <c r="N381" s="143"/>
      <c r="O381" s="143"/>
      <c r="P381" s="143"/>
      <c r="Q381" s="160">
        <f t="shared" si="74"/>
        <v>0</v>
      </c>
      <c r="R381" s="160"/>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row>
    <row r="382" spans="1:41" ht="15.75" customHeight="1">
      <c r="A382" s="118" t="s">
        <v>655</v>
      </c>
      <c r="B382" s="111">
        <f>('Pivot Table for Data Exchange'!$R$78)*100</f>
        <v>0</v>
      </c>
      <c r="C382" s="111">
        <f>('Pivot Table for Data Exchange'!$R$81)*100</f>
        <v>0</v>
      </c>
      <c r="D382" s="173">
        <f t="shared" si="80"/>
        <v>0</v>
      </c>
      <c r="E382" s="111">
        <f>('Pivot Table for Data Exchange'!$R$84)*100</f>
        <v>0</v>
      </c>
      <c r="F382" s="111">
        <f>('Pivot Table for Data Exchange'!$R$87)*100</f>
        <v>0</v>
      </c>
      <c r="G382" s="119">
        <f>('Pivot Table for Data Exchange'!$R$90)*100</f>
        <v>0</v>
      </c>
      <c r="H382" s="111">
        <f>('Pivot Table for Data Exchange'!$R$93)*100</f>
        <v>0</v>
      </c>
      <c r="I382" s="118"/>
      <c r="J382" s="143"/>
      <c r="K382" s="143"/>
      <c r="L382" s="143"/>
      <c r="M382" s="143"/>
      <c r="N382" s="143"/>
      <c r="O382" s="143"/>
      <c r="P382" s="143"/>
      <c r="Q382" s="160">
        <f t="shared" si="74"/>
        <v>0</v>
      </c>
      <c r="R382" s="160"/>
      <c r="S382" s="116"/>
      <c r="T382" s="132"/>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row>
    <row r="383" spans="1:41" ht="15.75" customHeight="1">
      <c r="A383" s="118" t="s">
        <v>656</v>
      </c>
      <c r="B383" s="111">
        <f>('Pivot Table for Data Exchange'!$R$114)*100</f>
        <v>0</v>
      </c>
      <c r="C383" s="111">
        <f>('Pivot Table for Data Exchange'!$R$117)*100</f>
        <v>0</v>
      </c>
      <c r="D383" s="173">
        <f t="shared" si="80"/>
        <v>0</v>
      </c>
      <c r="E383" s="111">
        <f>('Pivot Table for Data Exchange'!$R$120)*100</f>
        <v>0</v>
      </c>
      <c r="F383" s="111">
        <f>('Pivot Table for Data Exchange'!$R$123)*100</f>
        <v>0</v>
      </c>
      <c r="G383" s="119">
        <f>('Pivot Table for Data Exchange'!$R$126)*100</f>
        <v>0</v>
      </c>
      <c r="H383" s="111">
        <f>('Pivot Table for Data Exchange'!$R$129)*100</f>
        <v>0</v>
      </c>
      <c r="I383" s="118"/>
      <c r="J383" s="143"/>
      <c r="K383" s="143"/>
      <c r="L383" s="143"/>
      <c r="M383" s="143"/>
      <c r="N383" s="143"/>
      <c r="O383" s="143"/>
      <c r="P383" s="143"/>
      <c r="Q383" s="160">
        <f t="shared" si="74"/>
        <v>0</v>
      </c>
      <c r="R383" s="160"/>
      <c r="S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row>
    <row r="384" spans="1:41" ht="15.75" customHeight="1">
      <c r="A384" s="118"/>
      <c r="B384" s="111"/>
      <c r="C384" s="111"/>
      <c r="D384" s="173"/>
      <c r="E384" s="111"/>
      <c r="F384" s="111"/>
      <c r="G384" s="119"/>
      <c r="H384" s="111"/>
      <c r="I384" s="118"/>
      <c r="J384" s="143"/>
      <c r="K384" s="143"/>
      <c r="L384" s="143"/>
      <c r="M384" s="143"/>
      <c r="N384" s="143"/>
      <c r="O384" s="143"/>
      <c r="P384" s="143"/>
      <c r="Q384" s="160">
        <f t="shared" si="74"/>
        <v>0</v>
      </c>
      <c r="R384" s="160"/>
      <c r="S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row>
    <row r="385" spans="1:41" ht="15.75" customHeight="1">
      <c r="A385" s="118" t="s">
        <v>657</v>
      </c>
      <c r="B385" s="111">
        <f>('Pivot Table for Data Exchange'!$R$150)*100</f>
        <v>82.573859751351463</v>
      </c>
      <c r="C385" s="111">
        <f>('Pivot Table for Data Exchange'!$R$153)*100</f>
        <v>0</v>
      </c>
      <c r="D385" s="173">
        <f t="shared" ref="D385:D388" si="81">SUM(E385:G385)</f>
        <v>17.426140248648544</v>
      </c>
      <c r="E385" s="111">
        <f>('Pivot Table for Data Exchange'!$R$156)*100</f>
        <v>17.221646107464526</v>
      </c>
      <c r="F385" s="111">
        <f>('Pivot Table for Data Exchange'!$R$159)*100</f>
        <v>0.1968339747761334</v>
      </c>
      <c r="G385" s="119">
        <f>('Pivot Table for Data Exchange'!$R$162)*100</f>
        <v>7.6601664078860977E-3</v>
      </c>
      <c r="H385" s="120">
        <f>('Pivot Table for Data Exchange'!$R$165)*100</f>
        <v>0</v>
      </c>
      <c r="I385" s="118"/>
      <c r="J385" s="143"/>
      <c r="K385" s="143"/>
      <c r="L385" s="143"/>
      <c r="M385" s="143"/>
      <c r="N385" s="143"/>
      <c r="O385" s="143"/>
      <c r="P385" s="143"/>
      <c r="Q385" s="160">
        <f t="shared" si="74"/>
        <v>100</v>
      </c>
      <c r="R385" s="160"/>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row>
    <row r="386" spans="1:41" ht="15.75" customHeight="1">
      <c r="A386" s="118" t="s">
        <v>658</v>
      </c>
      <c r="B386" s="111">
        <f>('Pivot Table for Data Exchange'!$R$186)*100</f>
        <v>94.359020770170602</v>
      </c>
      <c r="C386" s="111">
        <f>('Pivot Table for Data Exchange'!$R$189)*100</f>
        <v>0.51224037286755053</v>
      </c>
      <c r="D386" s="173">
        <f t="shared" si="81"/>
        <v>5.1287388569618537</v>
      </c>
      <c r="E386" s="111">
        <f>('Pivot Table for Data Exchange'!$R$192)*100</f>
        <v>5.1287388569618537</v>
      </c>
      <c r="F386" s="111">
        <f>('Pivot Table for Data Exchange'!$R$195)*100</f>
        <v>0</v>
      </c>
      <c r="G386" s="119">
        <f>('Pivot Table for Data Exchange'!$R$198)*100</f>
        <v>0</v>
      </c>
      <c r="H386" s="111">
        <f>('Pivot Table for Data Exchange'!$R$201)*100</f>
        <v>0</v>
      </c>
      <c r="I386" s="118"/>
      <c r="J386" s="143"/>
      <c r="K386" s="143"/>
      <c r="L386" s="143"/>
      <c r="M386" s="143"/>
      <c r="N386" s="143"/>
      <c r="O386" s="143"/>
      <c r="P386" s="143"/>
      <c r="Q386" s="160">
        <f t="shared" si="74"/>
        <v>100.00000000000001</v>
      </c>
      <c r="R386" s="160"/>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row>
    <row r="387" spans="1:41" ht="15.75" customHeight="1">
      <c r="A387" s="118" t="s">
        <v>659</v>
      </c>
      <c r="B387" s="111">
        <f>('Pivot Table for Data Exchange'!$R$222)*100</f>
        <v>0</v>
      </c>
      <c r="C387" s="111">
        <f>('Pivot Table for Data Exchange'!$R$225)*100</f>
        <v>0</v>
      </c>
      <c r="D387" s="173">
        <f t="shared" si="81"/>
        <v>0</v>
      </c>
      <c r="E387" s="111">
        <f>('Pivot Table for Data Exchange'!$R$228)*100</f>
        <v>0</v>
      </c>
      <c r="F387" s="111">
        <f>('Pivot Table for Data Exchange'!$R$231)*100</f>
        <v>0</v>
      </c>
      <c r="G387" s="119">
        <f>('Pivot Table for Data Exchange'!$R$234)*100</f>
        <v>0</v>
      </c>
      <c r="H387" s="111">
        <f>('Pivot Table for Data Exchange'!$R$237)*100</f>
        <v>0</v>
      </c>
      <c r="I387" s="148"/>
      <c r="J387" s="143"/>
      <c r="K387" s="143"/>
      <c r="L387" s="143"/>
      <c r="M387" s="143"/>
      <c r="N387" s="143"/>
      <c r="O387" s="143"/>
      <c r="P387" s="143"/>
      <c r="Q387" s="160">
        <f>SUM(I387,C387,D387,H387)</f>
        <v>0</v>
      </c>
      <c r="R387" s="160"/>
      <c r="S387" s="116"/>
      <c r="T387" s="132"/>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row>
    <row r="388" spans="1:41" ht="15.75" customHeight="1">
      <c r="A388" s="118" t="s">
        <v>700</v>
      </c>
      <c r="B388" s="111">
        <f>('Pivot Table for Data Exchange'!$R$258)*100</f>
        <v>0</v>
      </c>
      <c r="C388" s="111">
        <f>('Pivot Table for Data Exchange'!$R$261)*100</f>
        <v>0</v>
      </c>
      <c r="D388" s="173">
        <f t="shared" si="81"/>
        <v>0</v>
      </c>
      <c r="E388" s="111">
        <f>('Pivot Table for Data Exchange'!$R$264)*100</f>
        <v>0</v>
      </c>
      <c r="F388" s="120">
        <f>('Pivot Table for Data Exchange'!$R$267)*100</f>
        <v>0</v>
      </c>
      <c r="G388" s="121">
        <f>('Pivot Table for Data Exchange'!$R$270)*100</f>
        <v>0</v>
      </c>
      <c r="H388" s="111">
        <f>('Pivot Table for Data Exchange'!$R$273)*100</f>
        <v>0</v>
      </c>
      <c r="I388" s="118"/>
      <c r="J388" s="143"/>
      <c r="K388" s="143"/>
      <c r="L388" s="143"/>
      <c r="M388" s="143"/>
      <c r="N388" s="143"/>
      <c r="O388" s="143"/>
      <c r="P388" s="143"/>
      <c r="Q388" s="160">
        <f t="shared" si="74"/>
        <v>0</v>
      </c>
      <c r="R388" s="160"/>
      <c r="S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row>
    <row r="389" spans="1:41" ht="15.75" customHeight="1">
      <c r="A389" s="118"/>
      <c r="B389" s="111"/>
      <c r="C389" s="111"/>
      <c r="D389" s="173"/>
      <c r="E389" s="111"/>
      <c r="F389" s="111"/>
      <c r="G389" s="119"/>
      <c r="H389" s="111"/>
      <c r="I389" s="118"/>
      <c r="J389" s="143"/>
      <c r="K389" s="143"/>
      <c r="L389" s="143"/>
      <c r="M389" s="143"/>
      <c r="N389" s="143"/>
      <c r="O389" s="143"/>
      <c r="P389" s="143"/>
      <c r="Q389" s="160">
        <f t="shared" si="74"/>
        <v>0</v>
      </c>
      <c r="R389" s="160"/>
      <c r="S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row>
    <row r="390" spans="1:41" ht="15.75" customHeight="1">
      <c r="A390" s="118" t="s">
        <v>661</v>
      </c>
      <c r="B390" s="111">
        <f>('Pivot Table for Data Exchange'!$R$294)*100</f>
        <v>0</v>
      </c>
      <c r="C390" s="111">
        <f>('Pivot Table for Data Exchange'!$R$297)*100</f>
        <v>0</v>
      </c>
      <c r="D390" s="173">
        <f t="shared" ref="D390:D392" si="82">SUM(E390:G390)</f>
        <v>0</v>
      </c>
      <c r="E390" s="111">
        <f>('Pivot Table for Data Exchange'!$R$300)*100</f>
        <v>0</v>
      </c>
      <c r="F390" s="111">
        <f>('Pivot Table for Data Exchange'!$R$303)*100</f>
        <v>0</v>
      </c>
      <c r="G390" s="119">
        <f>('Pivot Table for Data Exchange'!$R$306)*100</f>
        <v>0</v>
      </c>
      <c r="H390" s="111">
        <f>('Pivot Table for Data Exchange'!$R$309)*100</f>
        <v>0</v>
      </c>
      <c r="I390" s="118"/>
      <c r="J390" s="143"/>
      <c r="K390" s="143"/>
      <c r="L390" s="143"/>
      <c r="M390" s="143"/>
      <c r="N390" s="143"/>
      <c r="O390" s="143"/>
      <c r="P390" s="143"/>
      <c r="Q390" s="160">
        <f t="shared" si="74"/>
        <v>0</v>
      </c>
      <c r="R390" s="160"/>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row>
    <row r="391" spans="1:41" ht="15.75" customHeight="1">
      <c r="A391" s="118" t="s">
        <v>662</v>
      </c>
      <c r="B391" s="111">
        <f>('Pivot Table for Data Exchange'!$R$330)*100</f>
        <v>0</v>
      </c>
      <c r="C391" s="111">
        <f>('Pivot Table for Data Exchange'!$R$333)*100</f>
        <v>0</v>
      </c>
      <c r="D391" s="173">
        <f t="shared" si="82"/>
        <v>0</v>
      </c>
      <c r="E391" s="111">
        <f>('Pivot Table for Data Exchange'!$R$336)*100</f>
        <v>0</v>
      </c>
      <c r="F391" s="120">
        <f>('Pivot Table for Data Exchange'!$R$339)*100</f>
        <v>0</v>
      </c>
      <c r="G391" s="119">
        <f>('Pivot Table for Data Exchange'!$R$342)*100</f>
        <v>0</v>
      </c>
      <c r="H391" s="111">
        <f>('Pivot Table for Data Exchange'!$R$345)*100</f>
        <v>0</v>
      </c>
      <c r="I391" s="118"/>
      <c r="J391" s="143"/>
      <c r="K391" s="143"/>
      <c r="L391" s="143"/>
      <c r="M391" s="143"/>
      <c r="N391" s="143"/>
      <c r="O391" s="143"/>
      <c r="P391" s="143"/>
      <c r="Q391" s="160">
        <f t="shared" si="74"/>
        <v>0</v>
      </c>
      <c r="R391" s="160"/>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row>
    <row r="392" spans="1:41" ht="15.75" customHeight="1">
      <c r="A392" s="118" t="s">
        <v>663</v>
      </c>
      <c r="B392" s="111">
        <f>('Pivot Table for Data Exchange'!$R$366)*100</f>
        <v>0</v>
      </c>
      <c r="C392" s="111">
        <f>('Pivot Table for Data Exchange'!$R$369)*100</f>
        <v>0</v>
      </c>
      <c r="D392" s="173">
        <f t="shared" si="82"/>
        <v>0</v>
      </c>
      <c r="E392" s="111">
        <f>('Pivot Table for Data Exchange'!$R$372)*100</f>
        <v>0</v>
      </c>
      <c r="F392" s="111">
        <f>('Pivot Table for Data Exchange'!$R$375)*100</f>
        <v>0</v>
      </c>
      <c r="G392" s="119">
        <f>('Pivot Table for Data Exchange'!$R$378)*100</f>
        <v>0</v>
      </c>
      <c r="H392" s="111">
        <f>('Pivot Table for Data Exchange'!$R$381)*100</f>
        <v>0</v>
      </c>
      <c r="I392" s="118"/>
      <c r="J392" s="143"/>
      <c r="K392" s="143"/>
      <c r="L392" s="143"/>
      <c r="M392" s="143"/>
      <c r="N392" s="143"/>
      <c r="O392" s="143"/>
      <c r="P392" s="143"/>
      <c r="Q392" s="160">
        <f t="shared" si="74"/>
        <v>0</v>
      </c>
      <c r="R392" s="160"/>
      <c r="S392" s="116"/>
      <c r="T392" s="132"/>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row>
    <row r="393" spans="1:41" ht="15.75" customHeight="1">
      <c r="A393" s="118" t="s">
        <v>664</v>
      </c>
      <c r="B393" s="111">
        <f>('Pivot Table for Data Exchange'!$R$402)*100</f>
        <v>0</v>
      </c>
      <c r="C393" s="111">
        <f>('Pivot Table for Data Exchange'!$R$405)*100</f>
        <v>0</v>
      </c>
      <c r="D393" s="173">
        <f>SUM(E393:G393)</f>
        <v>0</v>
      </c>
      <c r="E393" s="111">
        <f>('Pivot Table for Data Exchange'!$R$408)*100</f>
        <v>0</v>
      </c>
      <c r="F393" s="111">
        <f>('Pivot Table for Data Exchange'!$R$411)*100</f>
        <v>0</v>
      </c>
      <c r="G393" s="119">
        <f>('Pivot Table for Data Exchange'!$R$414)*100</f>
        <v>0</v>
      </c>
      <c r="H393" s="111">
        <f>('Pivot Table for Data Exchange'!$R$417)*100</f>
        <v>0</v>
      </c>
      <c r="I393" s="118"/>
      <c r="J393" s="143"/>
      <c r="K393" s="143"/>
      <c r="L393" s="143"/>
      <c r="M393" s="143"/>
      <c r="N393" s="143"/>
      <c r="O393" s="143"/>
      <c r="P393" s="143"/>
      <c r="Q393" s="160">
        <f t="shared" si="74"/>
        <v>0</v>
      </c>
      <c r="R393" s="160"/>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row>
    <row r="394" spans="1:41" ht="15.75" customHeight="1">
      <c r="A394" s="118"/>
      <c r="B394" s="111"/>
      <c r="C394" s="111"/>
      <c r="D394" s="173"/>
      <c r="E394" s="111"/>
      <c r="F394" s="111"/>
      <c r="G394" s="119"/>
      <c r="H394" s="111"/>
      <c r="I394" s="118"/>
      <c r="J394" s="143"/>
      <c r="K394" s="143"/>
      <c r="L394" s="143"/>
      <c r="M394" s="143"/>
      <c r="N394" s="143"/>
      <c r="O394" s="143"/>
      <c r="P394" s="143"/>
      <c r="Q394" s="160">
        <f t="shared" si="74"/>
        <v>0</v>
      </c>
      <c r="R394" s="160"/>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row>
    <row r="395" spans="1:41" ht="15.75" customHeight="1">
      <c r="A395" s="118" t="s">
        <v>665</v>
      </c>
      <c r="B395" s="111">
        <f>('Pivot Table for Data Exchange'!$R$438)*100</f>
        <v>100</v>
      </c>
      <c r="C395" s="111">
        <f>('Pivot Table for Data Exchange'!$R$441)*100</f>
        <v>0</v>
      </c>
      <c r="D395" s="173">
        <f>SUM(E395:G395)</f>
        <v>0</v>
      </c>
      <c r="E395" s="111">
        <f>('Pivot Table for Data Exchange'!$R$444)*100</f>
        <v>0</v>
      </c>
      <c r="F395" s="111">
        <f>('Pivot Table for Data Exchange'!$R$447)*100</f>
        <v>0</v>
      </c>
      <c r="G395" s="119">
        <f>('Pivot Table for Data Exchange'!$R$450)*100</f>
        <v>0</v>
      </c>
      <c r="H395" s="111">
        <f>('Pivot Table for Data Exchange'!$R$453)*100</f>
        <v>0</v>
      </c>
      <c r="I395" s="118"/>
      <c r="J395" s="143"/>
      <c r="K395" s="143"/>
      <c r="L395" s="143"/>
      <c r="M395" s="143"/>
      <c r="N395" s="143"/>
      <c r="O395" s="143"/>
      <c r="P395" s="143"/>
      <c r="Q395" s="160">
        <f t="shared" ref="Q395:Q457" si="83">SUM(B395,C395,D395,H395)</f>
        <v>100</v>
      </c>
      <c r="R395" s="160"/>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row>
    <row r="396" spans="1:41" ht="15.75" customHeight="1">
      <c r="A396" s="118" t="s">
        <v>666</v>
      </c>
      <c r="B396" s="111">
        <f>('Pivot Table for Data Exchange'!$R$474)*100</f>
        <v>0</v>
      </c>
      <c r="C396" s="111">
        <f>('Pivot Table for Data Exchange'!$R$477)*100</f>
        <v>0</v>
      </c>
      <c r="D396" s="173">
        <f>SUM(E396:G396)</f>
        <v>0</v>
      </c>
      <c r="E396" s="111">
        <f>('Pivot Table for Data Exchange'!$R$480)*100</f>
        <v>0</v>
      </c>
      <c r="F396" s="111">
        <f>('Pivot Table for Data Exchange'!$R$483)*100</f>
        <v>0</v>
      </c>
      <c r="G396" s="119">
        <f>('Pivot Table for Data Exchange'!$R$486)*100</f>
        <v>0</v>
      </c>
      <c r="H396" s="111">
        <f>('Pivot Table for Data Exchange'!$R$489)*100</f>
        <v>0</v>
      </c>
      <c r="I396" s="118"/>
      <c r="J396" s="143"/>
      <c r="K396" s="143"/>
      <c r="L396" s="143"/>
      <c r="M396" s="143"/>
      <c r="N396" s="143"/>
      <c r="O396" s="143"/>
      <c r="P396" s="143"/>
      <c r="Q396" s="160">
        <f t="shared" si="83"/>
        <v>0</v>
      </c>
      <c r="R396" s="160"/>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row>
    <row r="397" spans="1:41" ht="15.75" customHeight="1">
      <c r="A397" s="118" t="s">
        <v>667</v>
      </c>
      <c r="B397" s="111">
        <f>('Pivot Table for Data Exchange'!$R$510)*100</f>
        <v>0</v>
      </c>
      <c r="C397" s="111">
        <f>('Pivot Table for Data Exchange'!$R$513)*100</f>
        <v>0</v>
      </c>
      <c r="D397" s="173">
        <f t="shared" ref="D397" si="84">SUM(E397:G397)</f>
        <v>0</v>
      </c>
      <c r="E397" s="111">
        <f>('Pivot Table for Data Exchange'!$R$516)*100</f>
        <v>0</v>
      </c>
      <c r="F397" s="111">
        <f>('Pivot Table for Data Exchange'!$R$519)*100</f>
        <v>0</v>
      </c>
      <c r="G397" s="119">
        <f>('Pivot Table for Data Exchange'!$R$522)*100</f>
        <v>0</v>
      </c>
      <c r="H397" s="111">
        <f>('Pivot Table for Data Exchange'!$R$525)*100</f>
        <v>0</v>
      </c>
      <c r="I397" s="118"/>
      <c r="J397" s="143"/>
      <c r="K397" s="143"/>
      <c r="L397" s="143"/>
      <c r="M397" s="143"/>
      <c r="N397" s="143"/>
      <c r="O397" s="143"/>
      <c r="P397" s="143"/>
      <c r="Q397" s="160">
        <f t="shared" si="83"/>
        <v>0</v>
      </c>
      <c r="R397" s="160"/>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row>
    <row r="398" spans="1:41" ht="15.75" customHeight="1">
      <c r="A398" s="91" t="s">
        <v>668</v>
      </c>
      <c r="B398" s="122">
        <f>('Pivot Table for Data Exchange'!$R$546)*100</f>
        <v>0</v>
      </c>
      <c r="C398" s="122">
        <f>('Pivot Table for Data Exchange'!$R$549)*100</f>
        <v>0</v>
      </c>
      <c r="D398" s="174">
        <f>SUM(E398:G398)</f>
        <v>0</v>
      </c>
      <c r="E398" s="122">
        <f>('Pivot Table for Data Exchange'!$R$552)*100</f>
        <v>0</v>
      </c>
      <c r="F398" s="122">
        <f>('Pivot Table for Data Exchange'!$R$555)*100</f>
        <v>0</v>
      </c>
      <c r="G398" s="124">
        <f>('Pivot Table for Data Exchange'!$R$558)*100</f>
        <v>0</v>
      </c>
      <c r="H398" s="125">
        <f>('Pivot Table for Data Exchange'!$R$561)*100</f>
        <v>0</v>
      </c>
      <c r="I398" s="118"/>
      <c r="J398" s="143"/>
      <c r="K398" s="143"/>
      <c r="L398" s="143"/>
      <c r="M398" s="143"/>
      <c r="N398" s="143"/>
      <c r="O398" s="143"/>
      <c r="P398" s="143"/>
      <c r="Q398" s="160">
        <f t="shared" si="83"/>
        <v>0</v>
      </c>
      <c r="R398" s="160"/>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row>
    <row r="399" spans="1:41" s="60" customFormat="1" ht="18" customHeight="1">
      <c r="A399" s="58" t="s">
        <v>697</v>
      </c>
      <c r="B399" s="126"/>
      <c r="C399" s="126"/>
      <c r="D399" s="127"/>
      <c r="E399" s="126"/>
      <c r="F399" s="127"/>
      <c r="G399" s="127"/>
      <c r="H399" s="126"/>
      <c r="I399" s="58"/>
      <c r="J399" s="126"/>
      <c r="K399" s="126"/>
      <c r="L399" s="127"/>
      <c r="M399" s="126"/>
      <c r="N399" s="127"/>
      <c r="O399" s="127"/>
      <c r="P399" s="126"/>
      <c r="Q399" s="160">
        <f t="shared" si="83"/>
        <v>0</v>
      </c>
      <c r="R399" s="164"/>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row>
    <row r="400" spans="1:41" s="60" customFormat="1" ht="18" customHeight="1">
      <c r="A400" s="58"/>
      <c r="B400" s="126"/>
      <c r="C400" s="126"/>
      <c r="D400" s="127"/>
      <c r="E400" s="126"/>
      <c r="F400" s="127"/>
      <c r="G400" s="127"/>
      <c r="H400" s="126"/>
      <c r="I400" s="58"/>
      <c r="J400" s="126"/>
      <c r="K400" s="126"/>
      <c r="L400" s="127"/>
      <c r="M400" s="126"/>
      <c r="N400" s="127"/>
      <c r="O400" s="127"/>
      <c r="P400" s="126"/>
      <c r="Q400" s="160">
        <f t="shared" si="83"/>
        <v>0</v>
      </c>
      <c r="R400" s="164"/>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row>
    <row r="401" spans="1:41" s="118" customFormat="1" ht="15.75" customHeight="1">
      <c r="B401" s="145"/>
      <c r="C401" s="145"/>
      <c r="D401" s="145"/>
      <c r="E401" s="145"/>
      <c r="F401" s="145"/>
      <c r="G401" s="145"/>
      <c r="H401" s="64" t="s">
        <v>1034</v>
      </c>
      <c r="J401" s="143"/>
      <c r="K401" s="143"/>
      <c r="L401" s="143"/>
      <c r="M401" s="143"/>
      <c r="N401" s="143"/>
      <c r="O401" s="143"/>
      <c r="P401" s="143"/>
      <c r="Q401" s="160">
        <f t="shared" si="83"/>
        <v>0</v>
      </c>
      <c r="R401" s="160"/>
      <c r="S401" s="150"/>
      <c r="T401" s="150"/>
      <c r="U401" s="150"/>
      <c r="V401" s="150"/>
      <c r="W401" s="150"/>
      <c r="X401" s="150"/>
      <c r="Y401" s="150"/>
      <c r="Z401" s="150"/>
      <c r="AA401" s="150"/>
      <c r="AB401" s="150"/>
      <c r="AC401" s="150"/>
      <c r="AD401" s="150"/>
      <c r="AE401" s="150"/>
      <c r="AF401" s="150"/>
      <c r="AG401" s="150"/>
      <c r="AH401" s="150"/>
      <c r="AI401" s="150"/>
      <c r="AJ401" s="150"/>
      <c r="AK401" s="150"/>
      <c r="AL401" s="150"/>
      <c r="AM401" s="150"/>
      <c r="AN401" s="150"/>
      <c r="AO401" s="150"/>
    </row>
    <row r="402" spans="1:41" ht="18">
      <c r="A402" s="31" t="s">
        <v>1024</v>
      </c>
      <c r="B402" s="86"/>
      <c r="C402" s="86"/>
      <c r="D402" s="86"/>
      <c r="E402" s="86"/>
      <c r="F402" s="86"/>
      <c r="G402" s="86"/>
      <c r="H402" s="87"/>
      <c r="I402" s="141"/>
      <c r="J402" s="118"/>
      <c r="K402" s="118"/>
      <c r="L402" s="118"/>
      <c r="M402" s="118"/>
      <c r="N402" s="118"/>
      <c r="O402" s="118"/>
      <c r="P402" s="118"/>
      <c r="Q402" s="160">
        <f t="shared" si="83"/>
        <v>0</v>
      </c>
    </row>
    <row r="403" spans="1:41">
      <c r="A403" s="37"/>
      <c r="B403" s="38"/>
      <c r="C403" s="38"/>
      <c r="D403" s="38"/>
      <c r="E403" s="38"/>
      <c r="F403" s="38"/>
      <c r="G403" s="38"/>
      <c r="H403" s="88"/>
      <c r="I403" s="141"/>
      <c r="J403" s="118"/>
      <c r="K403" s="118"/>
      <c r="L403" s="118"/>
      <c r="M403" s="118"/>
      <c r="N403" s="118"/>
      <c r="O403" s="118"/>
      <c r="P403" s="118"/>
      <c r="Q403" s="160">
        <f t="shared" si="83"/>
        <v>0</v>
      </c>
    </row>
    <row r="404" spans="1:41" ht="15.75">
      <c r="A404" s="89" t="s">
        <v>683</v>
      </c>
      <c r="B404" s="38"/>
      <c r="C404" s="38"/>
      <c r="D404" s="38"/>
      <c r="E404" s="38"/>
      <c r="F404" s="38"/>
      <c r="G404" s="38"/>
      <c r="H404" s="88"/>
      <c r="I404" s="141"/>
      <c r="J404" s="118"/>
      <c r="K404" s="118"/>
      <c r="L404" s="118"/>
      <c r="M404" s="118"/>
      <c r="N404" s="118"/>
      <c r="O404" s="118"/>
      <c r="P404" s="118"/>
      <c r="Q404" s="160">
        <f t="shared" si="83"/>
        <v>0</v>
      </c>
    </row>
    <row r="405" spans="1:41" ht="15.75">
      <c r="A405" s="89" t="s">
        <v>1002</v>
      </c>
      <c r="B405" s="38"/>
      <c r="C405" s="38"/>
      <c r="D405" s="38"/>
      <c r="E405" s="38"/>
      <c r="F405" s="38"/>
      <c r="G405" s="38"/>
      <c r="H405" s="88"/>
      <c r="I405" s="141"/>
      <c r="J405" s="118"/>
      <c r="K405" s="118"/>
      <c r="L405" s="118"/>
      <c r="M405" s="118"/>
      <c r="N405" s="118"/>
      <c r="O405" s="118"/>
      <c r="P405" s="118"/>
      <c r="Q405" s="160">
        <f t="shared" si="83"/>
        <v>0</v>
      </c>
    </row>
    <row r="406" spans="1:41">
      <c r="A406" s="91"/>
      <c r="B406" s="92"/>
      <c r="C406" s="92"/>
      <c r="D406" s="92"/>
      <c r="E406" s="92"/>
      <c r="F406" s="92"/>
      <c r="G406" s="92"/>
      <c r="H406" s="92"/>
      <c r="I406" s="141"/>
      <c r="J406" s="118"/>
      <c r="K406" s="118"/>
      <c r="L406" s="118"/>
      <c r="M406" s="118"/>
      <c r="N406" s="118"/>
      <c r="O406" s="118"/>
      <c r="P406" s="118"/>
      <c r="Q406" s="160">
        <f t="shared" si="83"/>
        <v>0</v>
      </c>
    </row>
    <row r="407" spans="1:41">
      <c r="A407" s="95"/>
      <c r="B407" s="96" t="s">
        <v>685</v>
      </c>
      <c r="C407" s="96"/>
      <c r="D407" s="96"/>
      <c r="E407" s="96"/>
      <c r="F407" s="96"/>
      <c r="G407" s="96"/>
      <c r="H407" s="97"/>
      <c r="I407" s="141"/>
      <c r="J407" s="118"/>
      <c r="K407" s="118"/>
      <c r="L407" s="118"/>
      <c r="M407" s="118"/>
      <c r="N407" s="118"/>
      <c r="O407" s="118"/>
      <c r="P407" s="118"/>
      <c r="Q407" s="160">
        <f t="shared" si="83"/>
        <v>0</v>
      </c>
    </row>
    <row r="408" spans="1:41">
      <c r="A408" s="95"/>
      <c r="B408" s="96" t="s">
        <v>686</v>
      </c>
      <c r="C408" s="96"/>
      <c r="D408" s="647" t="s">
        <v>687</v>
      </c>
      <c r="E408" s="648"/>
      <c r="F408" s="648"/>
      <c r="G408" s="648"/>
      <c r="H408" s="101" t="s">
        <v>59</v>
      </c>
      <c r="I408" s="141"/>
      <c r="J408" s="118"/>
      <c r="K408" s="118"/>
      <c r="L408" s="118"/>
      <c r="M408" s="118"/>
      <c r="N408" s="118"/>
      <c r="O408" s="118"/>
      <c r="P408" s="118"/>
      <c r="Q408" s="160">
        <f t="shared" si="83"/>
        <v>0</v>
      </c>
    </row>
    <row r="409" spans="1:41" ht="36">
      <c r="A409" s="95"/>
      <c r="B409" s="102" t="s">
        <v>688</v>
      </c>
      <c r="C409" s="103" t="s">
        <v>689</v>
      </c>
      <c r="D409" s="104" t="s">
        <v>690</v>
      </c>
      <c r="E409" s="105" t="s">
        <v>9</v>
      </c>
      <c r="F409" s="102" t="s">
        <v>691</v>
      </c>
      <c r="G409" s="106" t="s">
        <v>692</v>
      </c>
      <c r="H409" s="107" t="s">
        <v>693</v>
      </c>
      <c r="I409" s="141"/>
      <c r="J409" s="118"/>
      <c r="K409" s="118"/>
      <c r="L409" s="118"/>
      <c r="M409" s="118"/>
      <c r="N409" s="118"/>
      <c r="O409" s="118"/>
      <c r="P409" s="118"/>
      <c r="Q409" s="160">
        <f t="shared" si="83"/>
        <v>0</v>
      </c>
    </row>
    <row r="410" spans="1:41" ht="15.75" customHeight="1">
      <c r="A410" s="115" t="s">
        <v>653</v>
      </c>
      <c r="B410" s="111">
        <f>('Pivot Table for Data Exchange'!$P$6)*100</f>
        <v>75.768694008013327</v>
      </c>
      <c r="C410" s="111">
        <f>('Pivot Table for Data Exchange'!$P$9)*100</f>
        <v>13.987304731463556</v>
      </c>
      <c r="D410" s="173">
        <f>SUM(E410:G410)</f>
        <v>10.244001260523117</v>
      </c>
      <c r="E410" s="111">
        <f>('Pivot Table for Data Exchange'!$P$12)*100</f>
        <v>5.7623913924278574</v>
      </c>
      <c r="F410" s="111">
        <f>('Pivot Table for Data Exchange'!$P$15)*100</f>
        <v>0</v>
      </c>
      <c r="G410" s="113">
        <f>('Pivot Table for Data Exchange'!$P$18)*100</f>
        <v>4.4816098680952603</v>
      </c>
      <c r="H410" s="120">
        <f>('Pivot Table for Data Exchange'!$P$21)*100</f>
        <v>0</v>
      </c>
      <c r="I410" s="118"/>
      <c r="J410" s="143"/>
      <c r="K410" s="143"/>
      <c r="L410" s="143"/>
      <c r="M410" s="143"/>
      <c r="N410" s="143"/>
      <c r="O410" s="143"/>
      <c r="P410" s="143"/>
      <c r="Q410" s="160">
        <f t="shared" si="83"/>
        <v>100</v>
      </c>
      <c r="R410" s="160"/>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row>
    <row r="411" spans="1:41" ht="15.75" customHeight="1">
      <c r="A411" s="118" t="s">
        <v>654</v>
      </c>
      <c r="B411" s="111">
        <f>('Pivot Table for Data Exchange'!$P$42)*100</f>
        <v>0</v>
      </c>
      <c r="C411" s="111">
        <f>('Pivot Table for Data Exchange'!$P$45)*100</f>
        <v>0</v>
      </c>
      <c r="D411" s="173">
        <f t="shared" ref="D411:D413" si="85">SUM(E411:G411)</f>
        <v>0</v>
      </c>
      <c r="E411" s="111">
        <f>('Pivot Table for Data Exchange'!$P$48)*100</f>
        <v>0</v>
      </c>
      <c r="F411" s="111">
        <f>('Pivot Table for Data Exchange'!$P$51)*100</f>
        <v>0</v>
      </c>
      <c r="G411" s="119">
        <f>('Pivot Table for Data Exchange'!$P$54)*100</f>
        <v>0</v>
      </c>
      <c r="H411" s="111">
        <f>('Pivot Table for Data Exchange'!$P$57)*100</f>
        <v>0</v>
      </c>
      <c r="I411" s="118"/>
      <c r="J411" s="143"/>
      <c r="K411" s="143"/>
      <c r="L411" s="143"/>
      <c r="M411" s="143"/>
      <c r="N411" s="143"/>
      <c r="O411" s="143"/>
      <c r="P411" s="143"/>
      <c r="Q411" s="160">
        <f t="shared" si="83"/>
        <v>0</v>
      </c>
      <c r="R411" s="160"/>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row>
    <row r="412" spans="1:41" ht="15.75" customHeight="1">
      <c r="A412" s="118" t="s">
        <v>655</v>
      </c>
      <c r="B412" s="111">
        <f>('Pivot Table for Data Exchange'!$P$78)*100</f>
        <v>0</v>
      </c>
      <c r="C412" s="111">
        <f>('Pivot Table for Data Exchange'!$P$81)*100</f>
        <v>0</v>
      </c>
      <c r="D412" s="173">
        <f t="shared" si="85"/>
        <v>0</v>
      </c>
      <c r="E412" s="111">
        <f>('Pivot Table for Data Exchange'!$P$84)*100</f>
        <v>0</v>
      </c>
      <c r="F412" s="111">
        <f>('Pivot Table for Data Exchange'!$P$87)*100</f>
        <v>0</v>
      </c>
      <c r="G412" s="119">
        <f>('Pivot Table for Data Exchange'!$P$90)*100</f>
        <v>0</v>
      </c>
      <c r="H412" s="111">
        <f>('Pivot Table for Data Exchange'!$P$93)*100</f>
        <v>0</v>
      </c>
      <c r="I412" s="118"/>
      <c r="J412" s="143"/>
      <c r="K412" s="143"/>
      <c r="L412" s="143"/>
      <c r="M412" s="143"/>
      <c r="N412" s="143"/>
      <c r="O412" s="143"/>
      <c r="P412" s="143"/>
      <c r="Q412" s="160">
        <f t="shared" si="83"/>
        <v>0</v>
      </c>
      <c r="R412" s="160"/>
      <c r="S412" s="116"/>
      <c r="T412" s="132"/>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row>
    <row r="413" spans="1:41" ht="15.75" customHeight="1">
      <c r="A413" s="118" t="s">
        <v>656</v>
      </c>
      <c r="B413" s="111">
        <f>('Pivot Table for Data Exchange'!$P$114)*100</f>
        <v>0</v>
      </c>
      <c r="C413" s="111">
        <f>('Pivot Table for Data Exchange'!$P$117)*100</f>
        <v>0</v>
      </c>
      <c r="D413" s="173">
        <f t="shared" si="85"/>
        <v>0</v>
      </c>
      <c r="E413" s="111">
        <f>('Pivot Table for Data Exchange'!$P$120)*100</f>
        <v>0</v>
      </c>
      <c r="F413" s="111">
        <f>('Pivot Table for Data Exchange'!$P$123)*100</f>
        <v>0</v>
      </c>
      <c r="G413" s="119">
        <f>('Pivot Table for Data Exchange'!$P$126)*100</f>
        <v>0</v>
      </c>
      <c r="H413" s="111">
        <f>('Pivot Table for Data Exchange'!$P$129)*100</f>
        <v>0</v>
      </c>
      <c r="I413" s="118"/>
      <c r="J413" s="143"/>
      <c r="K413" s="143"/>
      <c r="L413" s="143"/>
      <c r="M413" s="143"/>
      <c r="N413" s="143"/>
      <c r="O413" s="143"/>
      <c r="P413" s="143"/>
      <c r="Q413" s="160">
        <f t="shared" si="83"/>
        <v>0</v>
      </c>
      <c r="R413" s="160"/>
      <c r="S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row>
    <row r="414" spans="1:41" ht="15.75" customHeight="1">
      <c r="A414" s="118"/>
      <c r="B414" s="111"/>
      <c r="C414" s="111"/>
      <c r="D414" s="173"/>
      <c r="E414" s="111"/>
      <c r="F414" s="111"/>
      <c r="G414" s="119"/>
      <c r="H414" s="111"/>
      <c r="I414" s="118"/>
      <c r="J414" s="143"/>
      <c r="K414" s="143"/>
      <c r="L414" s="143"/>
      <c r="M414" s="143"/>
      <c r="N414" s="143"/>
      <c r="O414" s="143"/>
      <c r="P414" s="143"/>
      <c r="Q414" s="160">
        <f t="shared" si="83"/>
        <v>0</v>
      </c>
      <c r="R414" s="160"/>
      <c r="S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row>
    <row r="415" spans="1:41" ht="15.75" customHeight="1">
      <c r="A415" s="118" t="s">
        <v>657</v>
      </c>
      <c r="B415" s="111">
        <f>('Pivot Table for Data Exchange'!$P$150)*100</f>
        <v>82.455265234946367</v>
      </c>
      <c r="C415" s="111">
        <f>('Pivot Table for Data Exchange'!$P$153)*100</f>
        <v>0</v>
      </c>
      <c r="D415" s="173">
        <f t="shared" ref="D415:D418" si="86">SUM(E415:G415)</f>
        <v>17.54473476505364</v>
      </c>
      <c r="E415" s="111">
        <f>('Pivot Table for Data Exchange'!$P$156)*100</f>
        <v>17.336687380483671</v>
      </c>
      <c r="F415" s="111">
        <f>('Pivot Table for Data Exchange'!$P$159)*100</f>
        <v>0.20025411686408678</v>
      </c>
      <c r="G415" s="119">
        <f>('Pivot Table for Data Exchange'!$P$162)*100</f>
        <v>7.7932677058817025E-3</v>
      </c>
      <c r="H415" s="120">
        <f>('Pivot Table for Data Exchange'!$P$165)*100</f>
        <v>0</v>
      </c>
      <c r="I415" s="118"/>
      <c r="J415" s="143"/>
      <c r="K415" s="143"/>
      <c r="L415" s="143"/>
      <c r="M415" s="143"/>
      <c r="N415" s="143"/>
      <c r="O415" s="143"/>
      <c r="P415" s="143"/>
      <c r="Q415" s="160">
        <f t="shared" si="83"/>
        <v>100</v>
      </c>
      <c r="R415" s="160"/>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row>
    <row r="416" spans="1:41" ht="15.75" customHeight="1">
      <c r="A416" s="118" t="s">
        <v>658</v>
      </c>
      <c r="B416" s="111">
        <f>('Pivot Table for Data Exchange'!$P$186)*100</f>
        <v>94.359020770170602</v>
      </c>
      <c r="C416" s="111">
        <f>('Pivot Table for Data Exchange'!$P$189)*100</f>
        <v>0.51224037286755053</v>
      </c>
      <c r="D416" s="173">
        <f t="shared" si="86"/>
        <v>5.1287388569618537</v>
      </c>
      <c r="E416" s="111">
        <f>('Pivot Table for Data Exchange'!$P$192)*100</f>
        <v>5.1287388569618537</v>
      </c>
      <c r="F416" s="111">
        <f>('Pivot Table for Data Exchange'!$P$195)*100</f>
        <v>0</v>
      </c>
      <c r="G416" s="119">
        <f>('Pivot Table for Data Exchange'!$P$198)*100</f>
        <v>0</v>
      </c>
      <c r="H416" s="111">
        <f>('Pivot Table for Data Exchange'!$P$201)*100</f>
        <v>0</v>
      </c>
      <c r="I416" s="118"/>
      <c r="J416" s="143"/>
      <c r="K416" s="143"/>
      <c r="L416" s="143"/>
      <c r="M416" s="143"/>
      <c r="N416" s="143"/>
      <c r="O416" s="143"/>
      <c r="P416" s="143"/>
      <c r="Q416" s="160">
        <f t="shared" si="83"/>
        <v>100.00000000000001</v>
      </c>
      <c r="R416" s="160"/>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row>
    <row r="417" spans="1:41" ht="15.75" customHeight="1">
      <c r="A417" s="118" t="s">
        <v>659</v>
      </c>
      <c r="B417" s="111">
        <f>('Pivot Table for Data Exchange'!$P$222)*100</f>
        <v>0</v>
      </c>
      <c r="C417" s="111">
        <f>('Pivot Table for Data Exchange'!$P$225)*100</f>
        <v>0</v>
      </c>
      <c r="D417" s="173">
        <f t="shared" si="86"/>
        <v>0</v>
      </c>
      <c r="E417" s="111">
        <f>('Pivot Table for Data Exchange'!$P$228)*100</f>
        <v>0</v>
      </c>
      <c r="F417" s="111">
        <f>('Pivot Table for Data Exchange'!$P$231)*100</f>
        <v>0</v>
      </c>
      <c r="G417" s="119">
        <f>('Pivot Table for Data Exchange'!$P$234)*100</f>
        <v>0</v>
      </c>
      <c r="H417" s="111">
        <f>('Pivot Table for Data Exchange'!$P$237)*100</f>
        <v>0</v>
      </c>
      <c r="I417" s="148"/>
      <c r="J417" s="143"/>
      <c r="K417" s="143"/>
      <c r="L417" s="143"/>
      <c r="M417" s="143"/>
      <c r="N417" s="143"/>
      <c r="O417" s="143"/>
      <c r="P417" s="143"/>
      <c r="Q417" s="160">
        <f>SUM(I417,C417,D417,H417)</f>
        <v>0</v>
      </c>
      <c r="R417" s="160"/>
      <c r="S417" s="116"/>
      <c r="T417" s="132"/>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row>
    <row r="418" spans="1:41" ht="15.75" customHeight="1">
      <c r="A418" s="118" t="s">
        <v>700</v>
      </c>
      <c r="B418" s="111">
        <f>('Pivot Table for Data Exchange'!$P$258)*100</f>
        <v>0</v>
      </c>
      <c r="C418" s="111">
        <f>('Pivot Table for Data Exchange'!$P$261)*100</f>
        <v>0</v>
      </c>
      <c r="D418" s="173">
        <f t="shared" si="86"/>
        <v>0</v>
      </c>
      <c r="E418" s="111">
        <f>('Pivot Table for Data Exchange'!$P$264)*100</f>
        <v>0</v>
      </c>
      <c r="F418" s="120">
        <f>('Pivot Table for Data Exchange'!$P$267)*100</f>
        <v>0</v>
      </c>
      <c r="G418" s="121">
        <f>('Pivot Table for Data Exchange'!$P$270)*100</f>
        <v>0</v>
      </c>
      <c r="H418" s="111">
        <f>('Pivot Table for Data Exchange'!$P$273)*100</f>
        <v>0</v>
      </c>
      <c r="I418" s="118"/>
      <c r="J418" s="143"/>
      <c r="K418" s="143"/>
      <c r="L418" s="143"/>
      <c r="M418" s="143"/>
      <c r="N418" s="143"/>
      <c r="O418" s="143"/>
      <c r="P418" s="143"/>
      <c r="Q418" s="160">
        <f t="shared" si="83"/>
        <v>0</v>
      </c>
      <c r="R418" s="160"/>
      <c r="S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row>
    <row r="419" spans="1:41" ht="15.75" customHeight="1">
      <c r="A419" s="118"/>
      <c r="B419" s="111"/>
      <c r="C419" s="111"/>
      <c r="D419" s="173"/>
      <c r="E419" s="111"/>
      <c r="F419" s="111"/>
      <c r="G419" s="119"/>
      <c r="H419" s="111"/>
      <c r="I419" s="118"/>
      <c r="J419" s="143"/>
      <c r="K419" s="143"/>
      <c r="L419" s="143"/>
      <c r="M419" s="143"/>
      <c r="N419" s="143"/>
      <c r="O419" s="143"/>
      <c r="P419" s="143"/>
      <c r="Q419" s="160">
        <f t="shared" si="83"/>
        <v>0</v>
      </c>
      <c r="R419" s="160"/>
      <c r="S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row>
    <row r="420" spans="1:41" ht="15.75" customHeight="1">
      <c r="A420" s="118" t="s">
        <v>661</v>
      </c>
      <c r="B420" s="111">
        <f>('Pivot Table for Data Exchange'!$P$294)*100</f>
        <v>0</v>
      </c>
      <c r="C420" s="111">
        <f>('Pivot Table for Data Exchange'!$P$297)*100</f>
        <v>0</v>
      </c>
      <c r="D420" s="173">
        <f t="shared" ref="D420:D422" si="87">SUM(E420:G420)</f>
        <v>0</v>
      </c>
      <c r="E420" s="111">
        <f>('Pivot Table for Data Exchange'!$P$300)*100</f>
        <v>0</v>
      </c>
      <c r="F420" s="111">
        <f>('Pivot Table for Data Exchange'!$P$303)*100</f>
        <v>0</v>
      </c>
      <c r="G420" s="119">
        <f>('Pivot Table for Data Exchange'!$P$306)*100</f>
        <v>0</v>
      </c>
      <c r="H420" s="111">
        <f>('Pivot Table for Data Exchange'!$P$309)*100</f>
        <v>0</v>
      </c>
      <c r="I420" s="118"/>
      <c r="J420" s="143"/>
      <c r="K420" s="143"/>
      <c r="L420" s="143"/>
      <c r="M420" s="143"/>
      <c r="N420" s="143"/>
      <c r="O420" s="143"/>
      <c r="P420" s="143"/>
      <c r="Q420" s="160">
        <f t="shared" si="83"/>
        <v>0</v>
      </c>
      <c r="R420" s="160"/>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row>
    <row r="421" spans="1:41" ht="15.75" customHeight="1">
      <c r="A421" s="118" t="s">
        <v>662</v>
      </c>
      <c r="B421" s="111">
        <f>('Pivot Table for Data Exchange'!$P$330)*100</f>
        <v>0</v>
      </c>
      <c r="C421" s="111">
        <f>('Pivot Table for Data Exchange'!$P$333)*100</f>
        <v>0</v>
      </c>
      <c r="D421" s="173">
        <f t="shared" si="87"/>
        <v>0</v>
      </c>
      <c r="E421" s="111">
        <f>('Pivot Table for Data Exchange'!$P$336)*100</f>
        <v>0</v>
      </c>
      <c r="F421" s="120">
        <f>('Pivot Table for Data Exchange'!$P$339)*100</f>
        <v>0</v>
      </c>
      <c r="G421" s="119">
        <f>('Pivot Table for Data Exchange'!$P$342)*100</f>
        <v>0</v>
      </c>
      <c r="H421" s="111">
        <f>('Pivot Table for Data Exchange'!$P$345)*100</f>
        <v>0</v>
      </c>
      <c r="I421" s="118"/>
      <c r="J421" s="143"/>
      <c r="K421" s="143"/>
      <c r="L421" s="143"/>
      <c r="M421" s="143"/>
      <c r="N421" s="143"/>
      <c r="O421" s="143"/>
      <c r="P421" s="143"/>
      <c r="Q421" s="160">
        <f t="shared" si="83"/>
        <v>0</v>
      </c>
      <c r="R421" s="160"/>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row>
    <row r="422" spans="1:41" ht="15.75" customHeight="1">
      <c r="A422" s="118" t="s">
        <v>663</v>
      </c>
      <c r="B422" s="111">
        <f>('Pivot Table for Data Exchange'!$P$366)*100</f>
        <v>0</v>
      </c>
      <c r="C422" s="111">
        <f>('Pivot Table for Data Exchange'!$P$369)*100</f>
        <v>0</v>
      </c>
      <c r="D422" s="173">
        <f t="shared" si="87"/>
        <v>0</v>
      </c>
      <c r="E422" s="111">
        <f>('Pivot Table for Data Exchange'!$P$372)*100</f>
        <v>0</v>
      </c>
      <c r="F422" s="111">
        <f>('Pivot Table for Data Exchange'!$P$375)*100</f>
        <v>0</v>
      </c>
      <c r="G422" s="119">
        <f>('Pivot Table for Data Exchange'!$P$378)*100</f>
        <v>0</v>
      </c>
      <c r="H422" s="111">
        <f>('Pivot Table for Data Exchange'!$P$381)*100</f>
        <v>0</v>
      </c>
      <c r="I422" s="118"/>
      <c r="J422" s="143"/>
      <c r="K422" s="143"/>
      <c r="L422" s="143"/>
      <c r="M422" s="143"/>
      <c r="N422" s="143"/>
      <c r="O422" s="143"/>
      <c r="P422" s="143"/>
      <c r="Q422" s="160">
        <f t="shared" si="83"/>
        <v>0</v>
      </c>
      <c r="R422" s="160"/>
      <c r="S422" s="116"/>
      <c r="T422" s="132"/>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row>
    <row r="423" spans="1:41" ht="15.75" customHeight="1">
      <c r="A423" s="118" t="s">
        <v>664</v>
      </c>
      <c r="B423" s="111">
        <f>('Pivot Table for Data Exchange'!$P$402)*100</f>
        <v>0</v>
      </c>
      <c r="C423" s="111">
        <f>('Pivot Table for Data Exchange'!$P$405)*100</f>
        <v>0</v>
      </c>
      <c r="D423" s="173">
        <f>SUM(E423:G423)</f>
        <v>0</v>
      </c>
      <c r="E423" s="111">
        <f>('Pivot Table for Data Exchange'!$P$408)*100</f>
        <v>0</v>
      </c>
      <c r="F423" s="111">
        <f>('Pivot Table for Data Exchange'!$P$411)*100</f>
        <v>0</v>
      </c>
      <c r="G423" s="119">
        <f>('Pivot Table for Data Exchange'!$P$414)*100</f>
        <v>0</v>
      </c>
      <c r="H423" s="111">
        <f>('Pivot Table for Data Exchange'!$P$417)*100</f>
        <v>0</v>
      </c>
      <c r="I423" s="118"/>
      <c r="J423" s="143"/>
      <c r="K423" s="143"/>
      <c r="L423" s="143"/>
      <c r="M423" s="143"/>
      <c r="N423" s="143"/>
      <c r="O423" s="143"/>
      <c r="P423" s="143"/>
      <c r="Q423" s="160">
        <f t="shared" si="83"/>
        <v>0</v>
      </c>
      <c r="R423" s="160"/>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row>
    <row r="424" spans="1:41" ht="15.75" customHeight="1">
      <c r="A424" s="118"/>
      <c r="B424" s="111"/>
      <c r="C424" s="111"/>
      <c r="D424" s="173"/>
      <c r="E424" s="111"/>
      <c r="F424" s="111"/>
      <c r="G424" s="119"/>
      <c r="H424" s="111"/>
      <c r="I424" s="118"/>
      <c r="J424" s="143"/>
      <c r="K424" s="143"/>
      <c r="L424" s="143"/>
      <c r="M424" s="143"/>
      <c r="N424" s="143"/>
      <c r="O424" s="143"/>
      <c r="P424" s="143"/>
      <c r="Q424" s="160">
        <f t="shared" si="83"/>
        <v>0</v>
      </c>
      <c r="R424" s="160"/>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row>
    <row r="425" spans="1:41" ht="15.75" customHeight="1">
      <c r="A425" s="118" t="s">
        <v>665</v>
      </c>
      <c r="B425" s="111">
        <f>('Pivot Table for Data Exchange'!$P$438)*100</f>
        <v>0</v>
      </c>
      <c r="C425" s="111">
        <f>('Pivot Table for Data Exchange'!$P$441)*100</f>
        <v>0</v>
      </c>
      <c r="D425" s="173">
        <f>SUM(E425:G425)</f>
        <v>0</v>
      </c>
      <c r="E425" s="111">
        <f>('Pivot Table for Data Exchange'!$P$444)*100</f>
        <v>0</v>
      </c>
      <c r="F425" s="111">
        <f>('Pivot Table for Data Exchange'!$P$447)*100</f>
        <v>0</v>
      </c>
      <c r="G425" s="119">
        <f>('Pivot Table for Data Exchange'!$P$450)*100</f>
        <v>0</v>
      </c>
      <c r="H425" s="111">
        <f>('Pivot Table for Data Exchange'!$P$453)*100</f>
        <v>0</v>
      </c>
      <c r="I425" s="118"/>
      <c r="J425" s="143"/>
      <c r="K425" s="143"/>
      <c r="L425" s="143"/>
      <c r="M425" s="143"/>
      <c r="N425" s="143"/>
      <c r="O425" s="143"/>
      <c r="P425" s="143"/>
      <c r="Q425" s="160">
        <f t="shared" si="83"/>
        <v>0</v>
      </c>
      <c r="R425" s="160"/>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row>
    <row r="426" spans="1:41" ht="15.75" customHeight="1">
      <c r="A426" s="118" t="s">
        <v>666</v>
      </c>
      <c r="B426" s="111">
        <f>('Pivot Table for Data Exchange'!$P$474)*100</f>
        <v>0</v>
      </c>
      <c r="C426" s="111">
        <f>('Pivot Table for Data Exchange'!$P$477)*100</f>
        <v>0</v>
      </c>
      <c r="D426" s="173">
        <f>SUM(E426:G426)</f>
        <v>0</v>
      </c>
      <c r="E426" s="111">
        <f>('Pivot Table for Data Exchange'!$P$480)*100</f>
        <v>0</v>
      </c>
      <c r="F426" s="111">
        <f>('Pivot Table for Data Exchange'!$P$483)*100</f>
        <v>0</v>
      </c>
      <c r="G426" s="119">
        <f>('Pivot Table for Data Exchange'!$P$486)*100</f>
        <v>0</v>
      </c>
      <c r="H426" s="111">
        <f>('Pivot Table for Data Exchange'!$P$489)*100</f>
        <v>0</v>
      </c>
      <c r="I426" s="118"/>
      <c r="J426" s="143"/>
      <c r="K426" s="143"/>
      <c r="L426" s="143"/>
      <c r="M426" s="143"/>
      <c r="N426" s="143"/>
      <c r="O426" s="143"/>
      <c r="P426" s="143"/>
      <c r="Q426" s="160">
        <f t="shared" si="83"/>
        <v>0</v>
      </c>
      <c r="R426" s="160"/>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row>
    <row r="427" spans="1:41" ht="15.75" customHeight="1">
      <c r="A427" s="118" t="s">
        <v>667</v>
      </c>
      <c r="B427" s="111">
        <f>('Pivot Table for Data Exchange'!$P$510)*100</f>
        <v>0</v>
      </c>
      <c r="C427" s="111">
        <f>('Pivot Table for Data Exchange'!$P$513)*100</f>
        <v>0</v>
      </c>
      <c r="D427" s="173">
        <f t="shared" ref="D427" si="88">SUM(E427:G427)</f>
        <v>0</v>
      </c>
      <c r="E427" s="111">
        <f>('Pivot Table for Data Exchange'!$P$516)*100</f>
        <v>0</v>
      </c>
      <c r="F427" s="111">
        <f>('Pivot Table for Data Exchange'!$P$519)*100</f>
        <v>0</v>
      </c>
      <c r="G427" s="119">
        <f>('Pivot Table for Data Exchange'!$P$522)*100</f>
        <v>0</v>
      </c>
      <c r="H427" s="111">
        <f>('Pivot Table for Data Exchange'!$P$525)*100</f>
        <v>0</v>
      </c>
      <c r="I427" s="118"/>
      <c r="J427" s="143"/>
      <c r="K427" s="143"/>
      <c r="L427" s="143"/>
      <c r="M427" s="143"/>
      <c r="N427" s="143"/>
      <c r="O427" s="143"/>
      <c r="P427" s="143"/>
      <c r="Q427" s="160">
        <f t="shared" si="83"/>
        <v>0</v>
      </c>
      <c r="R427" s="160"/>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row>
    <row r="428" spans="1:41" ht="15.75" customHeight="1">
      <c r="A428" s="91" t="s">
        <v>668</v>
      </c>
      <c r="B428" s="122">
        <f>('Pivot Table for Data Exchange'!$P$546)*100</f>
        <v>0</v>
      </c>
      <c r="C428" s="122">
        <f>('Pivot Table for Data Exchange'!$P$549)*100</f>
        <v>0</v>
      </c>
      <c r="D428" s="174">
        <f>SUM(E428:G428)</f>
        <v>0</v>
      </c>
      <c r="E428" s="122">
        <f>('Pivot Table for Data Exchange'!$P$552)*100</f>
        <v>0</v>
      </c>
      <c r="F428" s="122">
        <f>('Pivot Table for Data Exchange'!$P$555)*100</f>
        <v>0</v>
      </c>
      <c r="G428" s="124">
        <f>('Pivot Table for Data Exchange'!$P$558)*100</f>
        <v>0</v>
      </c>
      <c r="H428" s="122">
        <f>('Pivot Table for Data Exchange'!$P$561)*100</f>
        <v>0</v>
      </c>
      <c r="I428" s="118"/>
      <c r="J428" s="143"/>
      <c r="K428" s="143"/>
      <c r="L428" s="143"/>
      <c r="M428" s="143"/>
      <c r="N428" s="143"/>
      <c r="O428" s="143"/>
      <c r="P428" s="143"/>
      <c r="Q428" s="160">
        <f t="shared" si="83"/>
        <v>0</v>
      </c>
      <c r="R428" s="160"/>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row>
    <row r="429" spans="1:41" s="60" customFormat="1" ht="18" customHeight="1">
      <c r="A429" s="58" t="s">
        <v>697</v>
      </c>
      <c r="B429" s="126"/>
      <c r="C429" s="126"/>
      <c r="D429" s="127"/>
      <c r="E429" s="126"/>
      <c r="F429" s="127"/>
      <c r="G429" s="127"/>
      <c r="H429" s="126"/>
      <c r="I429" s="58"/>
      <c r="J429" s="126"/>
      <c r="K429" s="126"/>
      <c r="L429" s="127"/>
      <c r="M429" s="126"/>
      <c r="N429" s="127"/>
      <c r="O429" s="127"/>
      <c r="P429" s="126"/>
      <c r="Q429" s="160">
        <f t="shared" si="83"/>
        <v>0</v>
      </c>
      <c r="R429" s="164"/>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row>
    <row r="430" spans="1:41" s="60" customFormat="1" ht="13.5" customHeight="1">
      <c r="A430" s="58"/>
      <c r="B430" s="135"/>
      <c r="I430" s="58"/>
      <c r="P430" s="136"/>
      <c r="Q430" s="160">
        <f t="shared" si="83"/>
        <v>0</v>
      </c>
      <c r="R430" s="169"/>
    </row>
    <row r="431" spans="1:41" s="60" customFormat="1" ht="13.5" customHeight="1">
      <c r="A431" s="134"/>
      <c r="H431" s="64" t="s">
        <v>1034</v>
      </c>
      <c r="I431" s="134"/>
      <c r="Q431" s="160">
        <f t="shared" si="83"/>
        <v>0</v>
      </c>
      <c r="R431" s="169"/>
    </row>
    <row r="432" spans="1:41" ht="18">
      <c r="A432" s="31" t="s">
        <v>1025</v>
      </c>
      <c r="B432" s="86"/>
      <c r="C432" s="86"/>
      <c r="D432" s="86"/>
      <c r="E432" s="86"/>
      <c r="F432" s="86"/>
      <c r="G432" s="86"/>
      <c r="H432" s="87"/>
      <c r="I432" s="141"/>
      <c r="J432" s="118"/>
      <c r="K432" s="118"/>
      <c r="L432" s="118"/>
      <c r="M432" s="118"/>
      <c r="N432" s="118"/>
      <c r="O432" s="118"/>
      <c r="P432" s="118"/>
      <c r="Q432" s="160">
        <f t="shared" si="83"/>
        <v>0</v>
      </c>
    </row>
    <row r="433" spans="1:41">
      <c r="A433" s="37"/>
      <c r="B433" s="38"/>
      <c r="C433" s="38"/>
      <c r="D433" s="38"/>
      <c r="E433" s="38"/>
      <c r="F433" s="38"/>
      <c r="G433" s="38"/>
      <c r="H433" s="88"/>
      <c r="I433" s="141"/>
      <c r="J433" s="118"/>
      <c r="K433" s="118"/>
      <c r="L433" s="118"/>
      <c r="M433" s="118"/>
      <c r="N433" s="118"/>
      <c r="O433" s="118"/>
      <c r="P433" s="118"/>
      <c r="Q433" s="160">
        <f t="shared" si="83"/>
        <v>0</v>
      </c>
    </row>
    <row r="434" spans="1:41" ht="15.75">
      <c r="A434" s="89" t="s">
        <v>683</v>
      </c>
      <c r="B434" s="38"/>
      <c r="C434" s="38"/>
      <c r="D434" s="38"/>
      <c r="E434" s="38"/>
      <c r="F434" s="38"/>
      <c r="G434" s="38"/>
      <c r="H434" s="88"/>
      <c r="I434" s="141"/>
      <c r="J434" s="118"/>
      <c r="K434" s="118"/>
      <c r="L434" s="118"/>
      <c r="M434" s="118"/>
      <c r="N434" s="118"/>
      <c r="O434" s="118"/>
      <c r="P434" s="118"/>
      <c r="Q434" s="160">
        <f t="shared" si="83"/>
        <v>0</v>
      </c>
    </row>
    <row r="435" spans="1:41" ht="15.75">
      <c r="A435" s="89" t="s">
        <v>1003</v>
      </c>
      <c r="B435" s="38"/>
      <c r="C435" s="38"/>
      <c r="D435" s="38"/>
      <c r="E435" s="38"/>
      <c r="F435" s="38"/>
      <c r="G435" s="38"/>
      <c r="H435" s="88"/>
      <c r="I435" s="141"/>
      <c r="J435" s="118"/>
      <c r="K435" s="118"/>
      <c r="L435" s="118"/>
      <c r="M435" s="118"/>
      <c r="N435" s="118"/>
      <c r="O435" s="118"/>
      <c r="P435" s="118"/>
      <c r="Q435" s="160">
        <f t="shared" si="83"/>
        <v>0</v>
      </c>
    </row>
    <row r="436" spans="1:41">
      <c r="A436" s="91"/>
      <c r="B436" s="92"/>
      <c r="C436" s="92"/>
      <c r="D436" s="92"/>
      <c r="E436" s="92"/>
      <c r="F436" s="92"/>
      <c r="G436" s="92"/>
      <c r="H436" s="92"/>
      <c r="I436" s="141"/>
      <c r="J436" s="118"/>
      <c r="K436" s="118"/>
      <c r="L436" s="118"/>
      <c r="M436" s="118"/>
      <c r="N436" s="118"/>
      <c r="O436" s="118"/>
      <c r="P436" s="118"/>
      <c r="Q436" s="160">
        <f t="shared" si="83"/>
        <v>0</v>
      </c>
    </row>
    <row r="437" spans="1:41">
      <c r="A437" s="95"/>
      <c r="B437" s="96" t="s">
        <v>685</v>
      </c>
      <c r="C437" s="96"/>
      <c r="D437" s="96"/>
      <c r="E437" s="96"/>
      <c r="F437" s="96"/>
      <c r="G437" s="96"/>
      <c r="H437" s="97"/>
      <c r="I437" s="141"/>
      <c r="J437" s="118"/>
      <c r="K437" s="118"/>
      <c r="L437" s="118"/>
      <c r="M437" s="118"/>
      <c r="N437" s="118"/>
      <c r="O437" s="118"/>
      <c r="P437" s="118"/>
      <c r="Q437" s="160">
        <f t="shared" si="83"/>
        <v>0</v>
      </c>
    </row>
    <row r="438" spans="1:41">
      <c r="A438" s="95"/>
      <c r="B438" s="96" t="s">
        <v>686</v>
      </c>
      <c r="C438" s="96"/>
      <c r="D438" s="647" t="s">
        <v>687</v>
      </c>
      <c r="E438" s="648"/>
      <c r="F438" s="648"/>
      <c r="G438" s="648"/>
      <c r="H438" s="101" t="s">
        <v>59</v>
      </c>
      <c r="I438" s="141"/>
      <c r="J438" s="118"/>
      <c r="K438" s="118"/>
      <c r="L438" s="118"/>
      <c r="M438" s="118"/>
      <c r="N438" s="118"/>
      <c r="O438" s="118"/>
      <c r="P438" s="118"/>
      <c r="Q438" s="160">
        <f t="shared" si="83"/>
        <v>0</v>
      </c>
    </row>
    <row r="439" spans="1:41" ht="36">
      <c r="A439" s="95"/>
      <c r="B439" s="102" t="s">
        <v>688</v>
      </c>
      <c r="C439" s="103" t="s">
        <v>689</v>
      </c>
      <c r="D439" s="104" t="s">
        <v>690</v>
      </c>
      <c r="E439" s="105" t="s">
        <v>9</v>
      </c>
      <c r="F439" s="102" t="s">
        <v>691</v>
      </c>
      <c r="G439" s="106" t="s">
        <v>692</v>
      </c>
      <c r="H439" s="107" t="s">
        <v>693</v>
      </c>
      <c r="I439" s="141"/>
      <c r="J439" s="118"/>
      <c r="K439" s="118"/>
      <c r="L439" s="118"/>
      <c r="M439" s="118"/>
      <c r="N439" s="118"/>
      <c r="O439" s="118"/>
      <c r="P439" s="118"/>
      <c r="Q439" s="160">
        <f t="shared" si="83"/>
        <v>0</v>
      </c>
    </row>
    <row r="440" spans="1:41" ht="15.75" customHeight="1">
      <c r="A440" s="115" t="s">
        <v>653</v>
      </c>
      <c r="B440" s="111">
        <f>('Pivot Table for Data Exchange'!$Q$6)*100</f>
        <v>100</v>
      </c>
      <c r="C440" s="111">
        <f>('Pivot Table for Data Exchange'!$Q$9)*100</f>
        <v>0</v>
      </c>
      <c r="D440" s="173">
        <f>SUM(E440:G440)</f>
        <v>0</v>
      </c>
      <c r="E440" s="111">
        <f>('Pivot Table for Data Exchange'!$Q$12)*100</f>
        <v>0</v>
      </c>
      <c r="F440" s="111">
        <f>('Pivot Table for Data Exchange'!$Q$15)*100</f>
        <v>0</v>
      </c>
      <c r="G440" s="113">
        <f>('Pivot Table for Data Exchange'!$Q$18)*100</f>
        <v>0</v>
      </c>
      <c r="H440" s="120">
        <f>('Pivot Table for Data Exchange'!$Q$21)*100</f>
        <v>0</v>
      </c>
      <c r="I440" s="118"/>
      <c r="J440" s="143"/>
      <c r="K440" s="143"/>
      <c r="L440" s="143"/>
      <c r="M440" s="143"/>
      <c r="N440" s="143"/>
      <c r="O440" s="143"/>
      <c r="P440" s="143"/>
      <c r="Q440" s="160">
        <f t="shared" si="83"/>
        <v>100</v>
      </c>
      <c r="R440" s="160"/>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row>
    <row r="441" spans="1:41" ht="15.75" customHeight="1">
      <c r="A441" s="118" t="s">
        <v>654</v>
      </c>
      <c r="B441" s="111">
        <f>('Pivot Table for Data Exchange'!$Q$42)*100</f>
        <v>0</v>
      </c>
      <c r="C441" s="111">
        <f>('Pivot Table for Data Exchange'!$Q$45)*100</f>
        <v>0</v>
      </c>
      <c r="D441" s="173">
        <f t="shared" ref="D441:D443" si="89">SUM(E441:G441)</f>
        <v>0</v>
      </c>
      <c r="E441" s="111">
        <f>('Pivot Table for Data Exchange'!$Q$48)*100</f>
        <v>0</v>
      </c>
      <c r="F441" s="111">
        <f>('Pivot Table for Data Exchange'!$Q$51)*100</f>
        <v>0</v>
      </c>
      <c r="G441" s="119">
        <f>('Pivot Table for Data Exchange'!$Q$54)*100</f>
        <v>0</v>
      </c>
      <c r="H441" s="111">
        <f>('Pivot Table for Data Exchange'!$Q$57)*100</f>
        <v>0</v>
      </c>
      <c r="I441" s="118"/>
      <c r="J441" s="143"/>
      <c r="K441" s="143"/>
      <c r="L441" s="143"/>
      <c r="M441" s="143"/>
      <c r="N441" s="143"/>
      <c r="O441" s="143"/>
      <c r="P441" s="143"/>
      <c r="Q441" s="160">
        <f t="shared" si="83"/>
        <v>0</v>
      </c>
      <c r="R441" s="160"/>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row>
    <row r="442" spans="1:41" ht="15.75" customHeight="1">
      <c r="A442" s="118" t="s">
        <v>655</v>
      </c>
      <c r="B442" s="111">
        <f>('Pivot Table for Data Exchange'!$Q$78)*100</f>
        <v>0</v>
      </c>
      <c r="C442" s="111">
        <f>('Pivot Table for Data Exchange'!$Q$81)*100</f>
        <v>0</v>
      </c>
      <c r="D442" s="173">
        <f t="shared" si="89"/>
        <v>0</v>
      </c>
      <c r="E442" s="111">
        <f>('Pivot Table for Data Exchange'!$Q$84)*100</f>
        <v>0</v>
      </c>
      <c r="F442" s="111">
        <f>('Pivot Table for Data Exchange'!$Q$87)*100</f>
        <v>0</v>
      </c>
      <c r="G442" s="119">
        <f>('Pivot Table for Data Exchange'!$Q$90)*100</f>
        <v>0</v>
      </c>
      <c r="H442" s="111">
        <f>('Pivot Table for Data Exchange'!$Q$93)*100</f>
        <v>0</v>
      </c>
      <c r="I442" s="118"/>
      <c r="J442" s="143"/>
      <c r="K442" s="143"/>
      <c r="L442" s="143"/>
      <c r="M442" s="143"/>
      <c r="N442" s="143"/>
      <c r="O442" s="143"/>
      <c r="P442" s="143"/>
      <c r="Q442" s="160">
        <f t="shared" si="83"/>
        <v>0</v>
      </c>
      <c r="R442" s="160"/>
      <c r="S442" s="116"/>
      <c r="T442" s="132"/>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row>
    <row r="443" spans="1:41" ht="15.75" customHeight="1">
      <c r="A443" s="118" t="s">
        <v>656</v>
      </c>
      <c r="B443" s="111">
        <f>('Pivot Table for Data Exchange'!$Q$114)*100</f>
        <v>0</v>
      </c>
      <c r="C443" s="111">
        <f>('Pivot Table for Data Exchange'!$Q$117)*100</f>
        <v>0</v>
      </c>
      <c r="D443" s="173">
        <f t="shared" si="89"/>
        <v>0</v>
      </c>
      <c r="E443" s="111">
        <f>('Pivot Table for Data Exchange'!$Q$120)*100</f>
        <v>0</v>
      </c>
      <c r="F443" s="111">
        <f>('Pivot Table for Data Exchange'!$Q$123)*100</f>
        <v>0</v>
      </c>
      <c r="G443" s="119">
        <f>('Pivot Table for Data Exchange'!$Q$126)*100</f>
        <v>0</v>
      </c>
      <c r="H443" s="111">
        <f>('Pivot Table for Data Exchange'!$Q$129)*100</f>
        <v>0</v>
      </c>
      <c r="I443" s="118"/>
      <c r="J443" s="143"/>
      <c r="K443" s="143"/>
      <c r="L443" s="143"/>
      <c r="M443" s="143"/>
      <c r="N443" s="143"/>
      <c r="O443" s="143"/>
      <c r="P443" s="143"/>
      <c r="Q443" s="160">
        <f t="shared" si="83"/>
        <v>0</v>
      </c>
      <c r="R443" s="160"/>
      <c r="S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row>
    <row r="444" spans="1:41" ht="15.75" customHeight="1">
      <c r="A444" s="118"/>
      <c r="B444" s="111"/>
      <c r="C444" s="111"/>
      <c r="D444" s="173"/>
      <c r="E444" s="111"/>
      <c r="F444" s="111"/>
      <c r="G444" s="119"/>
      <c r="H444" s="111"/>
      <c r="I444" s="118"/>
      <c r="J444" s="143"/>
      <c r="K444" s="143"/>
      <c r="L444" s="143"/>
      <c r="M444" s="143"/>
      <c r="N444" s="143"/>
      <c r="O444" s="143"/>
      <c r="P444" s="143"/>
      <c r="Q444" s="160">
        <f t="shared" si="83"/>
        <v>0</v>
      </c>
      <c r="R444" s="160"/>
      <c r="S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row>
    <row r="445" spans="1:41" ht="15.75" customHeight="1">
      <c r="A445" s="118" t="s">
        <v>657</v>
      </c>
      <c r="B445" s="111">
        <f>('Pivot Table for Data Exchange'!$Q$150)*100</f>
        <v>89.399140529272941</v>
      </c>
      <c r="C445" s="111">
        <f>('Pivot Table for Data Exchange'!$Q$153)*100</f>
        <v>0</v>
      </c>
      <c r="D445" s="173">
        <f t="shared" ref="D445:D448" si="90">SUM(E445:G445)</f>
        <v>10.600859470727064</v>
      </c>
      <c r="E445" s="111">
        <f>('Pivot Table for Data Exchange'!$Q$156)*100</f>
        <v>10.600859470727064</v>
      </c>
      <c r="F445" s="111">
        <f>('Pivot Table for Data Exchange'!$Q$159)*100</f>
        <v>0</v>
      </c>
      <c r="G445" s="119">
        <f>('Pivot Table for Data Exchange'!$Q$162)*100</f>
        <v>0</v>
      </c>
      <c r="H445" s="120">
        <f>('Pivot Table for Data Exchange'!$Q$165)*100</f>
        <v>0</v>
      </c>
      <c r="I445" s="118"/>
      <c r="J445" s="143"/>
      <c r="K445" s="143"/>
      <c r="L445" s="143"/>
      <c r="M445" s="143"/>
      <c r="N445" s="143"/>
      <c r="O445" s="143"/>
      <c r="P445" s="143"/>
      <c r="Q445" s="160">
        <f t="shared" si="83"/>
        <v>100</v>
      </c>
      <c r="R445" s="160"/>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row>
    <row r="446" spans="1:41" ht="15.75" customHeight="1">
      <c r="A446" s="118" t="s">
        <v>658</v>
      </c>
      <c r="B446" s="111">
        <f>('Pivot Table for Data Exchange'!$Q$186)*100</f>
        <v>0</v>
      </c>
      <c r="C446" s="111">
        <f>('Pivot Table for Data Exchange'!$Q$189)*100</f>
        <v>0</v>
      </c>
      <c r="D446" s="173">
        <f t="shared" si="90"/>
        <v>0</v>
      </c>
      <c r="E446" s="111">
        <f>('Pivot Table for Data Exchange'!$Q$192)*100</f>
        <v>0</v>
      </c>
      <c r="F446" s="111">
        <f>('Pivot Table for Data Exchange'!$Q$195)*100</f>
        <v>0</v>
      </c>
      <c r="G446" s="119">
        <f>('Pivot Table for Data Exchange'!$Q$198)*100</f>
        <v>0</v>
      </c>
      <c r="H446" s="111">
        <f>('Pivot Table for Data Exchange'!$Q$201)*100</f>
        <v>0</v>
      </c>
      <c r="I446" s="118"/>
      <c r="J446" s="143"/>
      <c r="K446" s="143"/>
      <c r="L446" s="143"/>
      <c r="M446" s="143"/>
      <c r="N446" s="143"/>
      <c r="O446" s="143"/>
      <c r="P446" s="143"/>
      <c r="Q446" s="160">
        <f t="shared" si="83"/>
        <v>0</v>
      </c>
      <c r="R446" s="160"/>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row>
    <row r="447" spans="1:41" ht="15.75" customHeight="1">
      <c r="A447" s="118" t="s">
        <v>659</v>
      </c>
      <c r="B447" s="111">
        <f>('Pivot Table for Data Exchange'!$Q$222)*100</f>
        <v>0</v>
      </c>
      <c r="C447" s="111">
        <f>('Pivot Table for Data Exchange'!$Q$225)*100</f>
        <v>0</v>
      </c>
      <c r="D447" s="173">
        <f t="shared" si="90"/>
        <v>0</v>
      </c>
      <c r="E447" s="111">
        <f>('Pivot Table for Data Exchange'!$Q$228)*100</f>
        <v>0</v>
      </c>
      <c r="F447" s="111">
        <f>('Pivot Table for Data Exchange'!$Q$231)*100</f>
        <v>0</v>
      </c>
      <c r="G447" s="119">
        <f>('Pivot Table for Data Exchange'!$Q$234)*100</f>
        <v>0</v>
      </c>
      <c r="H447" s="111">
        <f>('Pivot Table for Data Exchange'!$Q$237)*100</f>
        <v>0</v>
      </c>
      <c r="I447" s="148"/>
      <c r="J447" s="143"/>
      <c r="K447" s="143"/>
      <c r="L447" s="143"/>
      <c r="M447" s="143"/>
      <c r="N447" s="143"/>
      <c r="O447" s="143"/>
      <c r="P447" s="143"/>
      <c r="Q447" s="160">
        <f>SUM(I447,C447,D447,H447)</f>
        <v>0</v>
      </c>
      <c r="R447" s="160"/>
      <c r="S447" s="116"/>
      <c r="T447" s="132"/>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row>
    <row r="448" spans="1:41" ht="15.75" customHeight="1">
      <c r="A448" s="118" t="s">
        <v>700</v>
      </c>
      <c r="B448" s="111">
        <f>('Pivot Table for Data Exchange'!$Q$258)*100</f>
        <v>0</v>
      </c>
      <c r="C448" s="111">
        <f>('Pivot Table for Data Exchange'!$Q$261)*100</f>
        <v>0</v>
      </c>
      <c r="D448" s="173">
        <f t="shared" si="90"/>
        <v>0</v>
      </c>
      <c r="E448" s="111">
        <f>('Pivot Table for Data Exchange'!$Q$264)*100</f>
        <v>0</v>
      </c>
      <c r="F448" s="120">
        <f>('Pivot Table for Data Exchange'!$Q$267)*100</f>
        <v>0</v>
      </c>
      <c r="G448" s="121">
        <f>('Pivot Table for Data Exchange'!$Q$270)*100</f>
        <v>0</v>
      </c>
      <c r="H448" s="111">
        <f>('Pivot Table for Data Exchange'!$Q$273)*100</f>
        <v>0</v>
      </c>
      <c r="I448" s="118"/>
      <c r="J448" s="143"/>
      <c r="K448" s="143"/>
      <c r="L448" s="143"/>
      <c r="M448" s="143"/>
      <c r="N448" s="143"/>
      <c r="O448" s="143"/>
      <c r="P448" s="143"/>
      <c r="Q448" s="160">
        <f t="shared" si="83"/>
        <v>0</v>
      </c>
      <c r="R448" s="160"/>
      <c r="S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row>
    <row r="449" spans="1:41" ht="15.75" customHeight="1">
      <c r="A449" s="118"/>
      <c r="B449" s="111"/>
      <c r="C449" s="111"/>
      <c r="D449" s="173"/>
      <c r="E449" s="111"/>
      <c r="F449" s="111"/>
      <c r="G449" s="119"/>
      <c r="H449" s="111"/>
      <c r="I449" s="118"/>
      <c r="J449" s="143"/>
      <c r="K449" s="143"/>
      <c r="L449" s="143"/>
      <c r="M449" s="143"/>
      <c r="N449" s="143"/>
      <c r="O449" s="143"/>
      <c r="P449" s="143"/>
      <c r="Q449" s="160">
        <f t="shared" si="83"/>
        <v>0</v>
      </c>
      <c r="R449" s="160"/>
      <c r="S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row>
    <row r="450" spans="1:41" ht="15.75" customHeight="1">
      <c r="A450" s="118" t="s">
        <v>661</v>
      </c>
      <c r="B450" s="111">
        <f>('Pivot Table for Data Exchange'!$Q$294)*100</f>
        <v>0</v>
      </c>
      <c r="C450" s="111">
        <f>('Pivot Table for Data Exchange'!$Q$297)*100</f>
        <v>0</v>
      </c>
      <c r="D450" s="173">
        <f t="shared" ref="D450:D452" si="91">SUM(E450:G450)</f>
        <v>0</v>
      </c>
      <c r="E450" s="111">
        <f>('Pivot Table for Data Exchange'!$Q$300)*100</f>
        <v>0</v>
      </c>
      <c r="F450" s="111">
        <f>('Pivot Table for Data Exchange'!$Q$303)*100</f>
        <v>0</v>
      </c>
      <c r="G450" s="119">
        <f>('Pivot Table for Data Exchange'!$Q$306)*100</f>
        <v>0</v>
      </c>
      <c r="H450" s="111">
        <f>('Pivot Table for Data Exchange'!$Q$309)*100</f>
        <v>0</v>
      </c>
      <c r="I450" s="118"/>
      <c r="J450" s="143"/>
      <c r="K450" s="143"/>
      <c r="L450" s="143"/>
      <c r="M450" s="143"/>
      <c r="N450" s="143"/>
      <c r="O450" s="143"/>
      <c r="P450" s="143"/>
      <c r="Q450" s="160">
        <f t="shared" si="83"/>
        <v>0</v>
      </c>
      <c r="R450" s="160"/>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row>
    <row r="451" spans="1:41" ht="15.75" customHeight="1">
      <c r="A451" s="118" t="s">
        <v>662</v>
      </c>
      <c r="B451" s="111">
        <f>('Pivot Table for Data Exchange'!$Q$330)*100</f>
        <v>0</v>
      </c>
      <c r="C451" s="111">
        <f>('Pivot Table for Data Exchange'!$Q$333)*100</f>
        <v>0</v>
      </c>
      <c r="D451" s="173">
        <f t="shared" si="91"/>
        <v>0</v>
      </c>
      <c r="E451" s="111">
        <f>('Pivot Table for Data Exchange'!$Q$336)*100</f>
        <v>0</v>
      </c>
      <c r="F451" s="120">
        <f>('Pivot Table for Data Exchange'!$Q$339)*100</f>
        <v>0</v>
      </c>
      <c r="G451" s="119">
        <f>('Pivot Table for Data Exchange'!$Q$342)*100</f>
        <v>0</v>
      </c>
      <c r="H451" s="111">
        <f>('Pivot Table for Data Exchange'!$Q$345)*100</f>
        <v>0</v>
      </c>
      <c r="I451" s="118"/>
      <c r="J451" s="143"/>
      <c r="K451" s="143"/>
      <c r="L451" s="143"/>
      <c r="M451" s="143"/>
      <c r="N451" s="143"/>
      <c r="O451" s="143"/>
      <c r="P451" s="143"/>
      <c r="Q451" s="160">
        <f t="shared" si="83"/>
        <v>0</v>
      </c>
      <c r="R451" s="160"/>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row>
    <row r="452" spans="1:41" ht="15.75" customHeight="1">
      <c r="A452" s="118" t="s">
        <v>663</v>
      </c>
      <c r="B452" s="111">
        <f>('Pivot Table for Data Exchange'!$Q$366)*100</f>
        <v>0</v>
      </c>
      <c r="C452" s="111">
        <f>('Pivot Table for Data Exchange'!$Q$369)*100</f>
        <v>0</v>
      </c>
      <c r="D452" s="173">
        <f t="shared" si="91"/>
        <v>0</v>
      </c>
      <c r="E452" s="111">
        <f>('Pivot Table for Data Exchange'!$Q$372)*100</f>
        <v>0</v>
      </c>
      <c r="F452" s="111">
        <f>('Pivot Table for Data Exchange'!$Q$375)*100</f>
        <v>0</v>
      </c>
      <c r="G452" s="119">
        <f>('Pivot Table for Data Exchange'!$Q$378)*100</f>
        <v>0</v>
      </c>
      <c r="H452" s="111">
        <f>('Pivot Table for Data Exchange'!$Q$381)*100</f>
        <v>0</v>
      </c>
      <c r="I452" s="118"/>
      <c r="J452" s="143"/>
      <c r="K452" s="143"/>
      <c r="L452" s="143"/>
      <c r="M452" s="143"/>
      <c r="N452" s="143"/>
      <c r="O452" s="143"/>
      <c r="P452" s="143"/>
      <c r="Q452" s="160">
        <f t="shared" si="83"/>
        <v>0</v>
      </c>
      <c r="R452" s="160"/>
      <c r="S452" s="116"/>
      <c r="T452" s="132"/>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row>
    <row r="453" spans="1:41" ht="15.75" customHeight="1">
      <c r="A453" s="118" t="s">
        <v>664</v>
      </c>
      <c r="B453" s="111">
        <f>('Pivot Table for Data Exchange'!$Q$402)*100</f>
        <v>0</v>
      </c>
      <c r="C453" s="111">
        <f>('Pivot Table for Data Exchange'!$Q$405)*100</f>
        <v>0</v>
      </c>
      <c r="D453" s="173">
        <f>SUM(E453:G453)</f>
        <v>0</v>
      </c>
      <c r="E453" s="111">
        <f>('Pivot Table for Data Exchange'!$Q$408)*100</f>
        <v>0</v>
      </c>
      <c r="F453" s="111">
        <f>('Pivot Table for Data Exchange'!$Q$411)*100</f>
        <v>0</v>
      </c>
      <c r="G453" s="119">
        <f>('Pivot Table for Data Exchange'!$Q$414)*100</f>
        <v>0</v>
      </c>
      <c r="H453" s="111">
        <f>('Pivot Table for Data Exchange'!$Q$417)*100</f>
        <v>0</v>
      </c>
      <c r="I453" s="118"/>
      <c r="J453" s="143"/>
      <c r="K453" s="143"/>
      <c r="L453" s="143"/>
      <c r="M453" s="143"/>
      <c r="N453" s="143"/>
      <c r="O453" s="143"/>
      <c r="P453" s="143"/>
      <c r="Q453" s="160">
        <f t="shared" si="83"/>
        <v>0</v>
      </c>
      <c r="R453" s="160"/>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row>
    <row r="454" spans="1:41" ht="15.75" customHeight="1">
      <c r="A454" s="118"/>
      <c r="B454" s="111"/>
      <c r="C454" s="111"/>
      <c r="D454" s="173"/>
      <c r="E454" s="111"/>
      <c r="F454" s="111"/>
      <c r="G454" s="119"/>
      <c r="H454" s="111"/>
      <c r="I454" s="118"/>
      <c r="J454" s="143"/>
      <c r="K454" s="143"/>
      <c r="L454" s="143"/>
      <c r="M454" s="143"/>
      <c r="N454" s="143"/>
      <c r="O454" s="143"/>
      <c r="P454" s="143"/>
      <c r="Q454" s="160">
        <f t="shared" si="83"/>
        <v>0</v>
      </c>
      <c r="R454" s="160"/>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row>
    <row r="455" spans="1:41" ht="15.75" customHeight="1">
      <c r="A455" s="118" t="s">
        <v>665</v>
      </c>
      <c r="B455" s="111">
        <f>('Pivot Table for Data Exchange'!$Q$438)*100</f>
        <v>100</v>
      </c>
      <c r="C455" s="111">
        <f>('Pivot Table for Data Exchange'!$Q$441)*100</f>
        <v>0</v>
      </c>
      <c r="D455" s="173">
        <f>SUM(E455:G455)</f>
        <v>0</v>
      </c>
      <c r="E455" s="111">
        <f>('Pivot Table for Data Exchange'!$Q$444)*100</f>
        <v>0</v>
      </c>
      <c r="F455" s="111">
        <f>('Pivot Table for Data Exchange'!$Q$447)*100</f>
        <v>0</v>
      </c>
      <c r="G455" s="119">
        <f>('Pivot Table for Data Exchange'!$Q$450)*100</f>
        <v>0</v>
      </c>
      <c r="H455" s="111">
        <f>('Pivot Table for Data Exchange'!$Q$453)*100</f>
        <v>0</v>
      </c>
      <c r="I455" s="118"/>
      <c r="J455" s="143"/>
      <c r="K455" s="143"/>
      <c r="L455" s="143"/>
      <c r="M455" s="143"/>
      <c r="N455" s="143"/>
      <c r="O455" s="143"/>
      <c r="P455" s="143"/>
      <c r="Q455" s="160">
        <f t="shared" si="83"/>
        <v>100</v>
      </c>
      <c r="R455" s="160"/>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row>
    <row r="456" spans="1:41" ht="15.75" customHeight="1">
      <c r="A456" s="118" t="s">
        <v>666</v>
      </c>
      <c r="B456" s="111">
        <f>('Pivot Table for Data Exchange'!$Q$474)*100</f>
        <v>0</v>
      </c>
      <c r="C456" s="111">
        <f>('Pivot Table for Data Exchange'!$Q$477)*100</f>
        <v>0</v>
      </c>
      <c r="D456" s="173">
        <f>SUM(E456:G456)</f>
        <v>0</v>
      </c>
      <c r="E456" s="111">
        <f>('Pivot Table for Data Exchange'!$Q$480)*100</f>
        <v>0</v>
      </c>
      <c r="F456" s="111">
        <f>('Pivot Table for Data Exchange'!$Q$483)*100</f>
        <v>0</v>
      </c>
      <c r="G456" s="119">
        <f>('Pivot Table for Data Exchange'!$Q$486)*100</f>
        <v>0</v>
      </c>
      <c r="H456" s="111">
        <f>('Pivot Table for Data Exchange'!$Q$489)*100</f>
        <v>0</v>
      </c>
      <c r="I456" s="118"/>
      <c r="J456" s="143"/>
      <c r="K456" s="143"/>
      <c r="L456" s="143"/>
      <c r="M456" s="143"/>
      <c r="N456" s="143"/>
      <c r="O456" s="143"/>
      <c r="P456" s="143"/>
      <c r="Q456" s="160">
        <f t="shared" si="83"/>
        <v>0</v>
      </c>
      <c r="R456" s="160"/>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row>
    <row r="457" spans="1:41" ht="15.75" customHeight="1">
      <c r="A457" s="118" t="s">
        <v>667</v>
      </c>
      <c r="B457" s="111">
        <f>('Pivot Table for Data Exchange'!$Q$510)*100</f>
        <v>0</v>
      </c>
      <c r="C457" s="111">
        <f>('Pivot Table for Data Exchange'!$Q$513)*100</f>
        <v>0</v>
      </c>
      <c r="D457" s="173">
        <f t="shared" ref="D457" si="92">SUM(E457:G457)</f>
        <v>0</v>
      </c>
      <c r="E457" s="111">
        <f>('Pivot Table for Data Exchange'!$Q$516)*100</f>
        <v>0</v>
      </c>
      <c r="F457" s="111">
        <f>('Pivot Table for Data Exchange'!$Q$519)*100</f>
        <v>0</v>
      </c>
      <c r="G457" s="119">
        <f>('Pivot Table for Data Exchange'!$Q$522)*100</f>
        <v>0</v>
      </c>
      <c r="H457" s="111">
        <f>('Pivot Table for Data Exchange'!$Q$525)*100</f>
        <v>0</v>
      </c>
      <c r="I457" s="118"/>
      <c r="J457" s="143"/>
      <c r="K457" s="143"/>
      <c r="L457" s="143"/>
      <c r="M457" s="143"/>
      <c r="N457" s="143"/>
      <c r="O457" s="143"/>
      <c r="P457" s="143"/>
      <c r="Q457" s="160">
        <f t="shared" si="83"/>
        <v>0</v>
      </c>
      <c r="R457" s="160"/>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row>
    <row r="458" spans="1:41" ht="15.75" customHeight="1">
      <c r="A458" s="91" t="s">
        <v>668</v>
      </c>
      <c r="B458" s="122">
        <f>('Pivot Table for Data Exchange'!$Q$546)*100</f>
        <v>0</v>
      </c>
      <c r="C458" s="122">
        <f>('Pivot Table for Data Exchange'!$Q$549)*100</f>
        <v>0</v>
      </c>
      <c r="D458" s="174">
        <f>SUM(E458:G458)</f>
        <v>0</v>
      </c>
      <c r="E458" s="122">
        <f>('Pivot Table for Data Exchange'!$Q$552)*100</f>
        <v>0</v>
      </c>
      <c r="F458" s="122">
        <f>('Pivot Table for Data Exchange'!$Q$555)*100</f>
        <v>0</v>
      </c>
      <c r="G458" s="124">
        <f>('Pivot Table for Data Exchange'!$Q$558)*100</f>
        <v>0</v>
      </c>
      <c r="H458" s="125">
        <f>('Pivot Table for Data Exchange'!$Q$561)*100</f>
        <v>0</v>
      </c>
      <c r="I458" s="118"/>
      <c r="J458" s="143"/>
      <c r="K458" s="143"/>
      <c r="L458" s="143"/>
      <c r="M458" s="143"/>
      <c r="N458" s="143"/>
      <c r="O458" s="143"/>
      <c r="P458" s="143"/>
      <c r="Q458" s="160">
        <f>SUM(B458,C458,D458,H458)</f>
        <v>0</v>
      </c>
      <c r="R458" s="160"/>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row>
    <row r="459" spans="1:41" s="60" customFormat="1" ht="18" customHeight="1">
      <c r="A459" s="58" t="s">
        <v>697</v>
      </c>
      <c r="B459" s="126"/>
      <c r="C459" s="126"/>
      <c r="D459" s="127"/>
      <c r="E459" s="126"/>
      <c r="F459" s="127"/>
      <c r="G459" s="127"/>
      <c r="H459" s="126"/>
      <c r="I459" s="58"/>
      <c r="J459" s="126"/>
      <c r="K459" s="126"/>
      <c r="L459" s="127"/>
      <c r="M459" s="126"/>
      <c r="N459" s="127"/>
      <c r="O459" s="127"/>
      <c r="P459" s="126"/>
      <c r="Q459" s="164"/>
      <c r="R459" s="164"/>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row>
    <row r="460" spans="1:41" s="60" customFormat="1" ht="18" customHeight="1">
      <c r="A460" s="58"/>
      <c r="B460" s="126"/>
      <c r="C460" s="126"/>
      <c r="D460" s="127"/>
      <c r="E460" s="126"/>
      <c r="F460" s="127"/>
      <c r="G460" s="127"/>
      <c r="H460" s="126"/>
      <c r="I460" s="58"/>
      <c r="J460" s="126"/>
      <c r="K460" s="126"/>
      <c r="L460" s="127"/>
      <c r="M460" s="126"/>
      <c r="N460" s="127"/>
      <c r="O460" s="127"/>
      <c r="P460" s="126"/>
      <c r="Q460" s="164"/>
      <c r="R460" s="164"/>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row>
    <row r="461" spans="1:41" s="60" customFormat="1" ht="13.5" customHeight="1">
      <c r="A461" s="58"/>
      <c r="B461" s="135"/>
      <c r="H461" s="64" t="s">
        <v>1034</v>
      </c>
      <c r="I461" s="58"/>
      <c r="P461" s="136"/>
      <c r="Q461" s="171"/>
      <c r="R461" s="169"/>
    </row>
    <row r="462" spans="1:41" s="60" customFormat="1" ht="13.5" customHeight="1">
      <c r="A462" s="134"/>
      <c r="H462" s="62"/>
      <c r="I462" s="134"/>
      <c r="Q462" s="171"/>
      <c r="R462" s="169"/>
    </row>
    <row r="463" spans="1:41" s="60" customFormat="1" ht="13.5" customHeight="1">
      <c r="A463" s="134"/>
      <c r="H463" s="62"/>
      <c r="I463" s="134"/>
      <c r="Q463" s="171"/>
      <c r="R463" s="169"/>
    </row>
    <row r="464" spans="1:41">
      <c r="I464" s="141"/>
      <c r="J464" s="118"/>
      <c r="K464" s="118"/>
      <c r="L464" s="118"/>
      <c r="M464" s="118"/>
      <c r="N464" s="118"/>
      <c r="O464" s="118"/>
      <c r="P464" s="118"/>
    </row>
    <row r="465" spans="8:18" s="90" customFormat="1">
      <c r="H465" s="118"/>
      <c r="I465" s="141"/>
      <c r="J465" s="118"/>
      <c r="K465" s="118"/>
      <c r="L465" s="118"/>
      <c r="M465" s="118"/>
      <c r="N465" s="118"/>
      <c r="O465" s="118"/>
      <c r="P465" s="118"/>
      <c r="Q465" s="155"/>
      <c r="R465" s="157"/>
    </row>
    <row r="466" spans="8:18" s="90" customFormat="1">
      <c r="H466" s="118"/>
      <c r="I466" s="141"/>
      <c r="J466" s="118"/>
      <c r="K466" s="118"/>
      <c r="L466" s="118"/>
      <c r="M466" s="118"/>
      <c r="N466" s="118"/>
      <c r="O466" s="118"/>
      <c r="P466" s="118"/>
      <c r="Q466" s="155"/>
      <c r="R466" s="157"/>
    </row>
    <row r="467" spans="8:18" s="90" customFormat="1">
      <c r="H467" s="118"/>
      <c r="I467" s="141"/>
      <c r="J467" s="118"/>
      <c r="K467" s="118"/>
      <c r="L467" s="118"/>
      <c r="M467" s="118"/>
      <c r="N467" s="118"/>
      <c r="O467" s="118"/>
      <c r="P467" s="118"/>
      <c r="Q467" s="155"/>
      <c r="R467" s="157"/>
    </row>
    <row r="468" spans="8:18" s="90" customFormat="1">
      <c r="H468" s="118"/>
      <c r="I468" s="141"/>
      <c r="J468" s="118"/>
      <c r="K468" s="118"/>
      <c r="L468" s="118"/>
      <c r="M468" s="118"/>
      <c r="N468" s="118"/>
      <c r="O468" s="118"/>
      <c r="P468" s="118"/>
      <c r="Q468" s="155"/>
      <c r="R468" s="157"/>
    </row>
    <row r="469" spans="8:18" s="90" customFormat="1">
      <c r="H469" s="118"/>
      <c r="I469" s="141"/>
      <c r="J469" s="118"/>
      <c r="K469" s="118"/>
      <c r="L469" s="118"/>
      <c r="M469" s="118"/>
      <c r="N469" s="118"/>
      <c r="O469" s="118"/>
      <c r="P469" s="118"/>
      <c r="Q469" s="155"/>
      <c r="R469" s="157"/>
    </row>
    <row r="470" spans="8:18" s="90" customFormat="1">
      <c r="H470" s="118"/>
      <c r="I470" s="141"/>
      <c r="J470" s="118"/>
      <c r="K470" s="118"/>
      <c r="L470" s="118"/>
      <c r="M470" s="118"/>
      <c r="N470" s="118"/>
      <c r="O470" s="118"/>
      <c r="P470" s="118"/>
      <c r="Q470" s="155"/>
      <c r="R470" s="157"/>
    </row>
    <row r="471" spans="8:18" s="90" customFormat="1">
      <c r="H471" s="118"/>
      <c r="I471" s="141"/>
      <c r="J471" s="118"/>
      <c r="K471" s="118"/>
      <c r="L471" s="118"/>
      <c r="M471" s="118"/>
      <c r="N471" s="118"/>
      <c r="O471" s="118"/>
      <c r="P471" s="118"/>
      <c r="Q471" s="155"/>
      <c r="R471" s="157"/>
    </row>
    <row r="472" spans="8:18" s="90" customFormat="1">
      <c r="H472" s="118"/>
      <c r="I472" s="141"/>
      <c r="J472" s="118"/>
      <c r="K472" s="118"/>
      <c r="L472" s="118"/>
      <c r="M472" s="118"/>
      <c r="N472" s="118"/>
      <c r="O472" s="118"/>
      <c r="P472" s="118"/>
      <c r="Q472" s="155"/>
      <c r="R472" s="157"/>
    </row>
    <row r="473" spans="8:18" s="90" customFormat="1">
      <c r="H473" s="118"/>
      <c r="I473" s="141"/>
      <c r="J473" s="118"/>
      <c r="K473" s="118"/>
      <c r="L473" s="118"/>
      <c r="M473" s="118"/>
      <c r="N473" s="118"/>
      <c r="O473" s="118"/>
      <c r="P473" s="118"/>
      <c r="Q473" s="155"/>
      <c r="R473" s="157"/>
    </row>
    <row r="474" spans="8:18" s="90" customFormat="1">
      <c r="H474" s="118"/>
      <c r="I474" s="141"/>
      <c r="J474" s="118"/>
      <c r="K474" s="118"/>
      <c r="L474" s="118"/>
      <c r="M474" s="118"/>
      <c r="N474" s="118"/>
      <c r="O474" s="118"/>
      <c r="P474" s="118"/>
      <c r="Q474" s="155"/>
      <c r="R474" s="157"/>
    </row>
    <row r="475" spans="8:18" s="90" customFormat="1">
      <c r="H475" s="118"/>
      <c r="I475" s="141"/>
      <c r="J475" s="118"/>
      <c r="K475" s="118"/>
      <c r="L475" s="118"/>
      <c r="M475" s="118"/>
      <c r="N475" s="118"/>
      <c r="O475" s="118"/>
      <c r="P475" s="118"/>
      <c r="Q475" s="155"/>
      <c r="R475" s="157"/>
    </row>
    <row r="476" spans="8:18" s="90" customFormat="1">
      <c r="H476" s="118"/>
      <c r="I476" s="141"/>
      <c r="J476" s="118"/>
      <c r="K476" s="118"/>
      <c r="L476" s="118"/>
      <c r="M476" s="118"/>
      <c r="N476" s="118"/>
      <c r="O476" s="118"/>
      <c r="P476" s="118"/>
      <c r="Q476" s="155"/>
      <c r="R476" s="157"/>
    </row>
    <row r="477" spans="8:18" s="90" customFormat="1">
      <c r="H477" s="118"/>
      <c r="I477" s="141"/>
      <c r="J477" s="118"/>
      <c r="K477" s="118"/>
      <c r="L477" s="118"/>
      <c r="M477" s="118"/>
      <c r="N477" s="118"/>
      <c r="O477" s="118"/>
      <c r="P477" s="118"/>
      <c r="Q477" s="155"/>
      <c r="R477" s="157"/>
    </row>
    <row r="478" spans="8:18" s="90" customFormat="1">
      <c r="H478" s="118"/>
      <c r="I478" s="141"/>
      <c r="J478" s="118"/>
      <c r="K478" s="118"/>
      <c r="L478" s="118"/>
      <c r="M478" s="118"/>
      <c r="N478" s="118"/>
      <c r="O478" s="118"/>
      <c r="P478" s="118"/>
      <c r="Q478" s="155"/>
      <c r="R478" s="157"/>
    </row>
    <row r="479" spans="8:18" s="90" customFormat="1">
      <c r="H479" s="118"/>
      <c r="I479" s="141"/>
      <c r="J479" s="118"/>
      <c r="K479" s="118"/>
      <c r="L479" s="118"/>
      <c r="M479" s="118"/>
      <c r="N479" s="118"/>
      <c r="O479" s="118"/>
      <c r="P479" s="118"/>
      <c r="Q479" s="155"/>
      <c r="R479" s="157"/>
    </row>
    <row r="480" spans="8:18" s="90" customFormat="1">
      <c r="H480" s="118"/>
      <c r="I480" s="141"/>
      <c r="J480" s="118"/>
      <c r="K480" s="118"/>
      <c r="L480" s="118"/>
      <c r="M480" s="118"/>
      <c r="N480" s="118"/>
      <c r="O480" s="118"/>
      <c r="P480" s="118"/>
      <c r="Q480" s="155"/>
      <c r="R480" s="157"/>
    </row>
    <row r="481" spans="8:18" s="90" customFormat="1">
      <c r="H481" s="118"/>
      <c r="I481" s="141"/>
      <c r="J481" s="118"/>
      <c r="K481" s="118"/>
      <c r="L481" s="118"/>
      <c r="M481" s="118"/>
      <c r="N481" s="118"/>
      <c r="O481" s="118"/>
      <c r="P481" s="118"/>
      <c r="Q481" s="155"/>
      <c r="R481" s="157"/>
    </row>
    <row r="482" spans="8:18" s="90" customFormat="1">
      <c r="H482" s="118"/>
      <c r="I482" s="141"/>
      <c r="J482" s="118"/>
      <c r="K482" s="118"/>
      <c r="L482" s="118"/>
      <c r="M482" s="118"/>
      <c r="N482" s="118"/>
      <c r="O482" s="118"/>
      <c r="P482" s="118"/>
      <c r="Q482" s="155"/>
      <c r="R482" s="157"/>
    </row>
    <row r="483" spans="8:18" s="90" customFormat="1">
      <c r="H483" s="118"/>
      <c r="I483" s="141"/>
      <c r="J483" s="118"/>
      <c r="K483" s="118"/>
      <c r="L483" s="118"/>
      <c r="M483" s="118"/>
      <c r="N483" s="118"/>
      <c r="O483" s="118"/>
      <c r="P483" s="118"/>
      <c r="Q483" s="155"/>
      <c r="R483" s="157"/>
    </row>
    <row r="484" spans="8:18" s="90" customFormat="1">
      <c r="H484" s="118"/>
      <c r="I484" s="141"/>
      <c r="J484" s="118"/>
      <c r="K484" s="118"/>
      <c r="L484" s="118"/>
      <c r="M484" s="118"/>
      <c r="N484" s="118"/>
      <c r="O484" s="118"/>
      <c r="P484" s="118"/>
      <c r="Q484" s="155"/>
      <c r="R484" s="157"/>
    </row>
    <row r="485" spans="8:18" s="90" customFormat="1">
      <c r="H485" s="118"/>
      <c r="I485" s="141"/>
      <c r="J485" s="118"/>
      <c r="K485" s="118"/>
      <c r="L485" s="118"/>
      <c r="M485" s="118"/>
      <c r="N485" s="118"/>
      <c r="O485" s="118"/>
      <c r="P485" s="118"/>
      <c r="Q485" s="155"/>
      <c r="R485" s="157"/>
    </row>
    <row r="486" spans="8:18" s="90" customFormat="1">
      <c r="H486" s="118"/>
      <c r="I486" s="141"/>
      <c r="J486" s="118"/>
      <c r="K486" s="118"/>
      <c r="L486" s="118"/>
      <c r="M486" s="118"/>
      <c r="N486" s="118"/>
      <c r="O486" s="118"/>
      <c r="P486" s="118"/>
      <c r="Q486" s="155"/>
      <c r="R486" s="157"/>
    </row>
    <row r="487" spans="8:18" s="90" customFormat="1">
      <c r="H487" s="118"/>
      <c r="I487" s="141"/>
      <c r="J487" s="118"/>
      <c r="K487" s="118"/>
      <c r="L487" s="118"/>
      <c r="M487" s="118"/>
      <c r="N487" s="118"/>
      <c r="O487" s="118"/>
      <c r="P487" s="118"/>
      <c r="Q487" s="155"/>
      <c r="R487" s="157"/>
    </row>
    <row r="488" spans="8:18" s="90" customFormat="1">
      <c r="H488" s="118"/>
      <c r="I488" s="141"/>
      <c r="J488" s="118"/>
      <c r="K488" s="118"/>
      <c r="L488" s="118"/>
      <c r="M488" s="118"/>
      <c r="N488" s="118"/>
      <c r="O488" s="118"/>
      <c r="P488" s="118"/>
      <c r="Q488" s="155"/>
      <c r="R488" s="157"/>
    </row>
    <row r="489" spans="8:18" s="90" customFormat="1">
      <c r="H489" s="118"/>
      <c r="I489" s="141"/>
      <c r="J489" s="118"/>
      <c r="K489" s="118"/>
      <c r="L489" s="118"/>
      <c r="M489" s="118"/>
      <c r="N489" s="118"/>
      <c r="O489" s="118"/>
      <c r="P489" s="118"/>
      <c r="Q489" s="155"/>
      <c r="R489" s="157"/>
    </row>
    <row r="490" spans="8:18" s="90" customFormat="1">
      <c r="H490" s="118"/>
      <c r="I490" s="141"/>
      <c r="J490" s="118"/>
      <c r="K490" s="118"/>
      <c r="L490" s="118"/>
      <c r="M490" s="118"/>
      <c r="N490" s="118"/>
      <c r="O490" s="118"/>
      <c r="P490" s="118"/>
      <c r="Q490" s="155"/>
      <c r="R490" s="157"/>
    </row>
    <row r="491" spans="8:18" s="90" customFormat="1">
      <c r="H491" s="118"/>
      <c r="I491" s="141"/>
      <c r="J491" s="118"/>
      <c r="K491" s="118"/>
      <c r="L491" s="118"/>
      <c r="M491" s="118"/>
      <c r="N491" s="118"/>
      <c r="O491" s="118"/>
      <c r="P491" s="118"/>
      <c r="Q491" s="155"/>
      <c r="R491" s="157"/>
    </row>
    <row r="492" spans="8:18" s="90" customFormat="1">
      <c r="H492" s="118"/>
      <c r="I492" s="141"/>
      <c r="J492" s="118"/>
      <c r="K492" s="118"/>
      <c r="L492" s="118"/>
      <c r="M492" s="118"/>
      <c r="N492" s="118"/>
      <c r="O492" s="118"/>
      <c r="P492" s="118"/>
      <c r="Q492" s="155"/>
      <c r="R492" s="157"/>
    </row>
    <row r="493" spans="8:18" s="90" customFormat="1">
      <c r="H493" s="118"/>
      <c r="I493" s="141"/>
      <c r="J493" s="118"/>
      <c r="K493" s="118"/>
      <c r="L493" s="118"/>
      <c r="M493" s="118"/>
      <c r="N493" s="118"/>
      <c r="O493" s="118"/>
      <c r="P493" s="118"/>
      <c r="Q493" s="155"/>
      <c r="R493" s="157"/>
    </row>
    <row r="494" spans="8:18" s="90" customFormat="1">
      <c r="H494" s="118"/>
      <c r="I494" s="141"/>
      <c r="J494" s="118"/>
      <c r="K494" s="118"/>
      <c r="L494" s="118"/>
      <c r="M494" s="118"/>
      <c r="N494" s="118"/>
      <c r="O494" s="118"/>
      <c r="P494" s="118"/>
      <c r="Q494" s="155"/>
      <c r="R494" s="157"/>
    </row>
    <row r="495" spans="8:18" s="90" customFormat="1">
      <c r="H495" s="118"/>
      <c r="I495" s="141"/>
      <c r="J495" s="118"/>
      <c r="K495" s="118"/>
      <c r="L495" s="118"/>
      <c r="M495" s="118"/>
      <c r="N495" s="118"/>
      <c r="O495" s="118"/>
      <c r="P495" s="118"/>
      <c r="Q495" s="155"/>
      <c r="R495" s="157"/>
    </row>
    <row r="496" spans="8:18" s="90" customFormat="1">
      <c r="H496" s="118"/>
      <c r="I496" s="141"/>
      <c r="J496" s="118"/>
      <c r="K496" s="118"/>
      <c r="L496" s="118"/>
      <c r="M496" s="118"/>
      <c r="N496" s="118"/>
      <c r="O496" s="118"/>
      <c r="P496" s="118"/>
      <c r="Q496" s="155"/>
      <c r="R496" s="157"/>
    </row>
    <row r="497" spans="8:18" s="90" customFormat="1">
      <c r="H497" s="118"/>
      <c r="I497" s="141"/>
      <c r="J497" s="118"/>
      <c r="K497" s="118"/>
      <c r="L497" s="118"/>
      <c r="M497" s="118"/>
      <c r="N497" s="118"/>
      <c r="O497" s="118"/>
      <c r="P497" s="118"/>
      <c r="Q497" s="155"/>
      <c r="R497" s="157"/>
    </row>
    <row r="498" spans="8:18" s="90" customFormat="1">
      <c r="H498" s="118"/>
      <c r="I498" s="141"/>
      <c r="J498" s="118"/>
      <c r="K498" s="118"/>
      <c r="L498" s="118"/>
      <c r="M498" s="118"/>
      <c r="N498" s="118"/>
      <c r="O498" s="118"/>
      <c r="P498" s="118"/>
      <c r="Q498" s="155"/>
      <c r="R498" s="157"/>
    </row>
    <row r="499" spans="8:18" s="90" customFormat="1">
      <c r="H499" s="118"/>
      <c r="I499" s="141"/>
      <c r="J499" s="118"/>
      <c r="K499" s="118"/>
      <c r="L499" s="118"/>
      <c r="M499" s="118"/>
      <c r="N499" s="118"/>
      <c r="O499" s="118"/>
      <c r="P499" s="118"/>
      <c r="Q499" s="155"/>
      <c r="R499" s="157"/>
    </row>
    <row r="500" spans="8:18" s="90" customFormat="1">
      <c r="H500" s="118"/>
      <c r="I500" s="141"/>
      <c r="J500" s="118"/>
      <c r="K500" s="118"/>
      <c r="L500" s="118"/>
      <c r="M500" s="118"/>
      <c r="N500" s="118"/>
      <c r="O500" s="118"/>
      <c r="P500" s="118"/>
      <c r="Q500" s="155"/>
      <c r="R500" s="157"/>
    </row>
    <row r="501" spans="8:18" s="90" customFormat="1">
      <c r="H501" s="118"/>
      <c r="I501" s="141"/>
      <c r="J501" s="118"/>
      <c r="K501" s="118"/>
      <c r="L501" s="118"/>
      <c r="M501" s="118"/>
      <c r="N501" s="118"/>
      <c r="O501" s="118"/>
      <c r="P501" s="118"/>
      <c r="Q501" s="155"/>
      <c r="R501" s="157"/>
    </row>
    <row r="502" spans="8:18" s="90" customFormat="1">
      <c r="H502" s="118"/>
      <c r="I502" s="141"/>
      <c r="J502" s="118"/>
      <c r="K502" s="118"/>
      <c r="L502" s="118"/>
      <c r="M502" s="118"/>
      <c r="N502" s="118"/>
      <c r="O502" s="118"/>
      <c r="P502" s="118"/>
      <c r="Q502" s="155"/>
      <c r="R502" s="157"/>
    </row>
    <row r="503" spans="8:18" s="90" customFormat="1">
      <c r="H503" s="118"/>
      <c r="I503" s="141"/>
      <c r="J503" s="118"/>
      <c r="K503" s="118"/>
      <c r="L503" s="118"/>
      <c r="M503" s="118"/>
      <c r="N503" s="118"/>
      <c r="O503" s="118"/>
      <c r="P503" s="118"/>
      <c r="Q503" s="155"/>
      <c r="R503" s="157"/>
    </row>
    <row r="504" spans="8:18" s="90" customFormat="1">
      <c r="H504" s="118"/>
      <c r="I504" s="141"/>
      <c r="J504" s="118"/>
      <c r="K504" s="118"/>
      <c r="L504" s="118"/>
      <c r="M504" s="118"/>
      <c r="N504" s="118"/>
      <c r="O504" s="118"/>
      <c r="P504" s="118"/>
      <c r="Q504" s="155"/>
      <c r="R504" s="157"/>
    </row>
    <row r="505" spans="8:18" s="90" customFormat="1">
      <c r="H505" s="118"/>
      <c r="I505" s="141"/>
      <c r="J505" s="118"/>
      <c r="K505" s="118"/>
      <c r="L505" s="118"/>
      <c r="M505" s="118"/>
      <c r="N505" s="118"/>
      <c r="O505" s="118"/>
      <c r="P505" s="118"/>
      <c r="Q505" s="155"/>
      <c r="R505" s="157"/>
    </row>
    <row r="506" spans="8:18" s="90" customFormat="1">
      <c r="H506" s="118"/>
      <c r="I506" s="141"/>
      <c r="J506" s="118"/>
      <c r="K506" s="118"/>
      <c r="L506" s="118"/>
      <c r="M506" s="118"/>
      <c r="N506" s="118"/>
      <c r="O506" s="118"/>
      <c r="P506" s="118"/>
      <c r="Q506" s="155"/>
      <c r="R506" s="157"/>
    </row>
    <row r="507" spans="8:18" s="90" customFormat="1">
      <c r="H507" s="118"/>
      <c r="I507" s="141"/>
      <c r="J507" s="118"/>
      <c r="K507" s="118"/>
      <c r="L507" s="118"/>
      <c r="M507" s="118"/>
      <c r="N507" s="118"/>
      <c r="O507" s="118"/>
      <c r="P507" s="118"/>
      <c r="Q507" s="155"/>
      <c r="R507" s="157"/>
    </row>
    <row r="508" spans="8:18" s="90" customFormat="1">
      <c r="H508" s="118"/>
      <c r="I508" s="141"/>
      <c r="J508" s="118"/>
      <c r="K508" s="118"/>
      <c r="L508" s="118"/>
      <c r="M508" s="118"/>
      <c r="N508" s="118"/>
      <c r="O508" s="118"/>
      <c r="P508" s="118"/>
      <c r="Q508" s="155"/>
      <c r="R508" s="157"/>
    </row>
    <row r="509" spans="8:18" s="90" customFormat="1">
      <c r="H509" s="118"/>
      <c r="I509" s="141"/>
      <c r="J509" s="118"/>
      <c r="K509" s="118"/>
      <c r="L509" s="118"/>
      <c r="M509" s="118"/>
      <c r="N509" s="118"/>
      <c r="O509" s="118"/>
      <c r="P509" s="118"/>
      <c r="Q509" s="155"/>
      <c r="R509" s="157"/>
    </row>
    <row r="510" spans="8:18" s="90" customFormat="1">
      <c r="H510" s="118"/>
      <c r="I510" s="141"/>
      <c r="J510" s="118"/>
      <c r="K510" s="118"/>
      <c r="L510" s="118"/>
      <c r="M510" s="118"/>
      <c r="N510" s="118"/>
      <c r="O510" s="118"/>
      <c r="P510" s="118"/>
      <c r="Q510" s="155"/>
      <c r="R510" s="157"/>
    </row>
    <row r="511" spans="8:18" s="90" customFormat="1">
      <c r="H511" s="118"/>
      <c r="I511" s="141"/>
      <c r="J511" s="118"/>
      <c r="K511" s="118"/>
      <c r="L511" s="118"/>
      <c r="M511" s="118"/>
      <c r="N511" s="118"/>
      <c r="O511" s="118"/>
      <c r="P511" s="118"/>
      <c r="Q511" s="155"/>
      <c r="R511" s="157"/>
    </row>
    <row r="512" spans="8:18" s="90" customFormat="1">
      <c r="H512" s="118"/>
      <c r="I512" s="141"/>
      <c r="J512" s="118"/>
      <c r="K512" s="118"/>
      <c r="L512" s="118"/>
      <c r="M512" s="118"/>
      <c r="N512" s="118"/>
      <c r="O512" s="118"/>
      <c r="P512" s="118"/>
      <c r="Q512" s="155"/>
      <c r="R512" s="157"/>
    </row>
    <row r="513" spans="8:18" s="90" customFormat="1">
      <c r="H513" s="118"/>
      <c r="I513" s="141"/>
      <c r="J513" s="118"/>
      <c r="K513" s="118"/>
      <c r="L513" s="118"/>
      <c r="M513" s="118"/>
      <c r="N513" s="118"/>
      <c r="O513" s="118"/>
      <c r="P513" s="118"/>
      <c r="Q513" s="155"/>
      <c r="R513" s="157"/>
    </row>
    <row r="514" spans="8:18" s="90" customFormat="1">
      <c r="H514" s="118"/>
      <c r="I514" s="141"/>
      <c r="J514" s="118"/>
      <c r="K514" s="118"/>
      <c r="L514" s="118"/>
      <c r="M514" s="118"/>
      <c r="N514" s="118"/>
      <c r="O514" s="118"/>
      <c r="P514" s="118"/>
      <c r="Q514" s="155"/>
      <c r="R514" s="157"/>
    </row>
    <row r="515" spans="8:18" s="90" customFormat="1">
      <c r="H515" s="118"/>
      <c r="I515" s="141"/>
      <c r="J515" s="118"/>
      <c r="K515" s="118"/>
      <c r="L515" s="118"/>
      <c r="M515" s="118"/>
      <c r="N515" s="118"/>
      <c r="O515" s="118"/>
      <c r="P515" s="118"/>
      <c r="Q515" s="155"/>
      <c r="R515" s="157"/>
    </row>
    <row r="516" spans="8:18" s="90" customFormat="1">
      <c r="H516" s="118"/>
      <c r="I516" s="141"/>
      <c r="J516" s="118"/>
      <c r="K516" s="118"/>
      <c r="L516" s="118"/>
      <c r="M516" s="118"/>
      <c r="N516" s="118"/>
      <c r="O516" s="118"/>
      <c r="P516" s="118"/>
      <c r="Q516" s="155"/>
      <c r="R516" s="157"/>
    </row>
    <row r="517" spans="8:18" s="90" customFormat="1">
      <c r="H517" s="118"/>
      <c r="I517" s="141"/>
      <c r="J517" s="118"/>
      <c r="K517" s="118"/>
      <c r="L517" s="118"/>
      <c r="M517" s="118"/>
      <c r="N517" s="118"/>
      <c r="O517" s="118"/>
      <c r="P517" s="118"/>
      <c r="Q517" s="155"/>
      <c r="R517" s="157"/>
    </row>
    <row r="518" spans="8:18" s="90" customFormat="1">
      <c r="H518" s="118"/>
      <c r="I518" s="141"/>
      <c r="J518" s="118"/>
      <c r="K518" s="118"/>
      <c r="L518" s="118"/>
      <c r="M518" s="118"/>
      <c r="N518" s="118"/>
      <c r="O518" s="118"/>
      <c r="P518" s="118"/>
      <c r="Q518" s="155"/>
      <c r="R518" s="157"/>
    </row>
    <row r="519" spans="8:18" s="90" customFormat="1">
      <c r="H519" s="118"/>
      <c r="I519" s="141"/>
      <c r="J519" s="118"/>
      <c r="K519" s="118"/>
      <c r="L519" s="118"/>
      <c r="M519" s="118"/>
      <c r="N519" s="118"/>
      <c r="O519" s="118"/>
      <c r="P519" s="118"/>
      <c r="Q519" s="155"/>
      <c r="R519" s="157"/>
    </row>
    <row r="520" spans="8:18" s="90" customFormat="1">
      <c r="H520" s="118"/>
      <c r="I520" s="141"/>
      <c r="J520" s="118"/>
      <c r="K520" s="118"/>
      <c r="L520" s="118"/>
      <c r="M520" s="118"/>
      <c r="N520" s="118"/>
      <c r="O520" s="118"/>
      <c r="P520" s="118"/>
      <c r="Q520" s="155"/>
      <c r="R520" s="157"/>
    </row>
    <row r="521" spans="8:18" s="90" customFormat="1">
      <c r="H521" s="118"/>
      <c r="I521" s="141"/>
      <c r="J521" s="118"/>
      <c r="K521" s="118"/>
      <c r="L521" s="118"/>
      <c r="M521" s="118"/>
      <c r="N521" s="118"/>
      <c r="O521" s="118"/>
      <c r="P521" s="118"/>
      <c r="Q521" s="155"/>
      <c r="R521" s="157"/>
    </row>
    <row r="522" spans="8:18" s="90" customFormat="1">
      <c r="H522" s="118"/>
      <c r="I522" s="141"/>
      <c r="J522" s="118"/>
      <c r="K522" s="118"/>
      <c r="L522" s="118"/>
      <c r="M522" s="118"/>
      <c r="N522" s="118"/>
      <c r="O522" s="118"/>
      <c r="P522" s="118"/>
      <c r="Q522" s="155"/>
      <c r="R522" s="157"/>
    </row>
    <row r="523" spans="8:18" s="90" customFormat="1">
      <c r="H523" s="118"/>
      <c r="I523" s="141"/>
      <c r="J523" s="118"/>
      <c r="K523" s="118"/>
      <c r="L523" s="118"/>
      <c r="M523" s="118"/>
      <c r="N523" s="118"/>
      <c r="O523" s="118"/>
      <c r="P523" s="118"/>
      <c r="Q523" s="155"/>
      <c r="R523" s="157"/>
    </row>
    <row r="524" spans="8:18" s="90" customFormat="1">
      <c r="H524" s="118"/>
      <c r="I524" s="141"/>
      <c r="J524" s="118"/>
      <c r="K524" s="118"/>
      <c r="L524" s="118"/>
      <c r="M524" s="118"/>
      <c r="N524" s="118"/>
      <c r="O524" s="118"/>
      <c r="P524" s="118"/>
      <c r="Q524" s="155"/>
      <c r="R524" s="157"/>
    </row>
    <row r="525" spans="8:18" s="90" customFormat="1">
      <c r="H525" s="118"/>
      <c r="I525" s="141"/>
      <c r="J525" s="118"/>
      <c r="K525" s="118"/>
      <c r="L525" s="118"/>
      <c r="M525" s="118"/>
      <c r="N525" s="118"/>
      <c r="O525" s="118"/>
      <c r="P525" s="118"/>
      <c r="Q525" s="155"/>
      <c r="R525" s="157"/>
    </row>
    <row r="526" spans="8:18" s="90" customFormat="1">
      <c r="H526" s="118"/>
      <c r="I526" s="141"/>
      <c r="J526" s="118"/>
      <c r="K526" s="118"/>
      <c r="L526" s="118"/>
      <c r="M526" s="118"/>
      <c r="N526" s="118"/>
      <c r="O526" s="118"/>
      <c r="P526" s="118"/>
      <c r="Q526" s="155"/>
      <c r="R526" s="157"/>
    </row>
    <row r="527" spans="8:18" s="90" customFormat="1">
      <c r="H527" s="118"/>
      <c r="I527" s="141"/>
      <c r="J527" s="118"/>
      <c r="K527" s="118"/>
      <c r="L527" s="118"/>
      <c r="M527" s="118"/>
      <c r="N527" s="118"/>
      <c r="O527" s="118"/>
      <c r="P527" s="118"/>
      <c r="Q527" s="155"/>
      <c r="R527" s="157"/>
    </row>
    <row r="528" spans="8:18" s="90" customFormat="1">
      <c r="H528" s="118"/>
      <c r="I528" s="141"/>
      <c r="J528" s="118"/>
      <c r="K528" s="118"/>
      <c r="L528" s="118"/>
      <c r="M528" s="118"/>
      <c r="N528" s="118"/>
      <c r="O528" s="118"/>
      <c r="P528" s="118"/>
      <c r="Q528" s="155"/>
      <c r="R528" s="157"/>
    </row>
    <row r="529" spans="8:18" s="90" customFormat="1">
      <c r="H529" s="118"/>
      <c r="I529" s="141"/>
      <c r="J529" s="118"/>
      <c r="K529" s="118"/>
      <c r="L529" s="118"/>
      <c r="M529" s="118"/>
      <c r="N529" s="118"/>
      <c r="O529" s="118"/>
      <c r="P529" s="118"/>
      <c r="Q529" s="155"/>
      <c r="R529" s="157"/>
    </row>
    <row r="530" spans="8:18" s="90" customFormat="1">
      <c r="H530" s="118"/>
      <c r="I530" s="141"/>
      <c r="J530" s="118"/>
      <c r="K530" s="118"/>
      <c r="L530" s="118"/>
      <c r="M530" s="118"/>
      <c r="N530" s="118"/>
      <c r="O530" s="118"/>
      <c r="P530" s="118"/>
      <c r="Q530" s="155"/>
      <c r="R530" s="157"/>
    </row>
    <row r="531" spans="8:18" s="90" customFormat="1">
      <c r="H531" s="118"/>
      <c r="I531" s="141"/>
      <c r="J531" s="118"/>
      <c r="K531" s="118"/>
      <c r="L531" s="118"/>
      <c r="M531" s="118"/>
      <c r="N531" s="118"/>
      <c r="O531" s="118"/>
      <c r="P531" s="118"/>
      <c r="Q531" s="155"/>
      <c r="R531" s="157"/>
    </row>
    <row r="532" spans="8:18" s="90" customFormat="1">
      <c r="H532" s="118"/>
      <c r="I532" s="141"/>
      <c r="J532" s="118"/>
      <c r="K532" s="118"/>
      <c r="L532" s="118"/>
      <c r="M532" s="118"/>
      <c r="N532" s="118"/>
      <c r="O532" s="118"/>
      <c r="P532" s="118"/>
      <c r="Q532" s="155"/>
      <c r="R532" s="157"/>
    </row>
  </sheetData>
  <mergeCells count="45">
    <mergeCell ref="D438:G438"/>
    <mergeCell ref="D317:G317"/>
    <mergeCell ref="A339:H339"/>
    <mergeCell ref="D347:G347"/>
    <mergeCell ref="A369:H369"/>
    <mergeCell ref="D378:G378"/>
    <mergeCell ref="D408:G408"/>
    <mergeCell ref="A308:H308"/>
    <mergeCell ref="A184:H184"/>
    <mergeCell ref="I184:P184"/>
    <mergeCell ref="D193:G193"/>
    <mergeCell ref="L193:O193"/>
    <mergeCell ref="A215:H215"/>
    <mergeCell ref="I215:P215"/>
    <mergeCell ref="D224:G224"/>
    <mergeCell ref="A246:H246"/>
    <mergeCell ref="D255:G255"/>
    <mergeCell ref="A277:H277"/>
    <mergeCell ref="D286:G286"/>
    <mergeCell ref="D132:G132"/>
    <mergeCell ref="L132:O132"/>
    <mergeCell ref="A154:H154"/>
    <mergeCell ref="I154:P154"/>
    <mergeCell ref="D162:G162"/>
    <mergeCell ref="L162:O162"/>
    <mergeCell ref="A123:H123"/>
    <mergeCell ref="I123:P123"/>
    <mergeCell ref="D39:G39"/>
    <mergeCell ref="L39:O39"/>
    <mergeCell ref="A61:H61"/>
    <mergeCell ref="I61:P61"/>
    <mergeCell ref="D70:G70"/>
    <mergeCell ref="L70:O70"/>
    <mergeCell ref="A92:H92"/>
    <mergeCell ref="I92:P92"/>
    <mergeCell ref="B100:H100"/>
    <mergeCell ref="D101:G101"/>
    <mergeCell ref="L101:O101"/>
    <mergeCell ref="A30:H30"/>
    <mergeCell ref="I30:P30"/>
    <mergeCell ref="Q2:X2"/>
    <mergeCell ref="D7:G7"/>
    <mergeCell ref="L7:O7"/>
    <mergeCell ref="A29:H29"/>
    <mergeCell ref="I29:P29"/>
  </mergeCells>
  <conditionalFormatting sqref="Q1:R7 Q9:R1048576">
    <cfRule type="cellIs" dxfId="1281" priority="1" stopIfTrue="1" operator="notEqual">
      <formula>100</formula>
    </cfRule>
  </conditionalFormatting>
  <pageMargins left="0.7" right="0.7" top="0.75" bottom="0.75" header="0.3" footer="0.3"/>
  <pageSetup firstPageNumber="91" orientation="landscape" useFirstPageNumber="1" r:id="rId1"/>
  <headerFooter>
    <oddFooter>&amp;CC-&amp;P&amp;RJanuary 2012</oddFooter>
  </headerFooter>
  <rowBreaks count="12" manualBreakCount="12">
    <brk id="63" max="15" man="1"/>
    <brk id="94" max="15" man="1"/>
    <brk id="125" max="15" man="1"/>
    <brk id="155" max="15" man="1"/>
    <brk id="186" max="15" man="1"/>
    <brk id="217" max="15" man="1"/>
    <brk id="248" max="15" man="1"/>
    <brk id="310"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sheetPr>
    <tabColor theme="4" tint="0.39997558519241921"/>
  </sheetPr>
  <dimension ref="A1:AH83"/>
  <sheetViews>
    <sheetView topLeftCell="A58" workbookViewId="0">
      <selection activeCell="A58" sqref="A1:XFD1048576"/>
    </sheetView>
  </sheetViews>
  <sheetFormatPr defaultRowHeight="15"/>
  <cols>
    <col min="1" max="1" width="20.85546875" customWidth="1"/>
    <col min="2" max="2" width="11.7109375" customWidth="1"/>
    <col min="3" max="3" width="11.42578125" customWidth="1"/>
    <col min="4" max="6" width="10.85546875" customWidth="1"/>
    <col min="7" max="7" width="11.140625" customWidth="1"/>
    <col min="8" max="8" width="10.85546875" customWidth="1"/>
    <col min="9" max="9" width="11.140625" customWidth="1"/>
    <col min="10" max="10" width="9.5703125" customWidth="1"/>
    <col min="11" max="11" width="9.28515625" customWidth="1"/>
    <col min="12" max="12" width="9.7109375" customWidth="1"/>
    <col min="13" max="13" width="9.85546875" customWidth="1"/>
    <col min="14" max="14" width="9.5703125" bestFit="1" customWidth="1"/>
    <col min="15" max="15" width="9.7109375" customWidth="1"/>
    <col min="16" max="16" width="12.28515625" customWidth="1"/>
    <col min="17" max="17" width="12.140625" customWidth="1"/>
    <col min="18" max="19" width="11.28515625" customWidth="1"/>
    <col min="20" max="20" width="11.5703125" customWidth="1"/>
    <col min="21" max="21" width="12.85546875" customWidth="1"/>
    <col min="22" max="22" width="11.140625" customWidth="1"/>
    <col min="23" max="23" width="11" customWidth="1"/>
    <col min="24" max="24" width="10.42578125" customWidth="1"/>
    <col min="25" max="25" width="9.85546875" customWidth="1"/>
    <col min="26" max="26" width="13.28515625" customWidth="1"/>
    <col min="27" max="27" width="13.7109375" customWidth="1"/>
    <col min="28" max="28" width="10.85546875" customWidth="1"/>
    <col min="29" max="29" width="11.7109375" customWidth="1"/>
    <col min="30" max="30" width="11.28515625" customWidth="1"/>
    <col min="31" max="31" width="12.7109375" customWidth="1"/>
    <col min="32" max="32" width="10.85546875" customWidth="1"/>
    <col min="33" max="33" width="12.28515625" customWidth="1"/>
  </cols>
  <sheetData>
    <row r="1" spans="1:34">
      <c r="A1" s="49" t="s">
        <v>706</v>
      </c>
    </row>
    <row r="2" spans="1:34">
      <c r="B2" s="211" t="s">
        <v>707</v>
      </c>
      <c r="C2" s="212"/>
      <c r="D2" s="212"/>
      <c r="E2" s="212"/>
      <c r="F2" s="212"/>
      <c r="G2" s="212"/>
      <c r="H2" s="212"/>
      <c r="I2" s="212"/>
      <c r="J2" s="212"/>
      <c r="K2" s="212"/>
      <c r="L2" s="212"/>
      <c r="M2" s="212"/>
      <c r="N2" s="212"/>
      <c r="O2" s="212"/>
      <c r="P2" s="212"/>
      <c r="Q2" s="213"/>
      <c r="R2" s="214" t="s">
        <v>708</v>
      </c>
      <c r="S2" s="215"/>
      <c r="T2" s="215"/>
      <c r="U2" s="215"/>
      <c r="V2" s="215"/>
      <c r="W2" s="215"/>
      <c r="X2" s="215"/>
      <c r="Y2" s="215"/>
      <c r="Z2" s="215"/>
      <c r="AA2" s="216"/>
      <c r="AB2" s="217" t="s">
        <v>709</v>
      </c>
      <c r="AC2" s="218"/>
      <c r="AD2" s="218"/>
      <c r="AE2" s="218"/>
      <c r="AF2" s="218"/>
      <c r="AG2" s="218"/>
    </row>
    <row r="3" spans="1:34">
      <c r="B3" s="219">
        <v>1</v>
      </c>
      <c r="C3" s="220"/>
      <c r="D3" s="219">
        <v>2</v>
      </c>
      <c r="E3" s="220"/>
      <c r="F3" s="219">
        <v>3</v>
      </c>
      <c r="G3" s="220"/>
      <c r="H3" s="219">
        <v>4</v>
      </c>
      <c r="I3" s="220"/>
      <c r="J3" s="219">
        <v>5</v>
      </c>
      <c r="K3" s="220"/>
      <c r="L3" s="219">
        <v>6</v>
      </c>
      <c r="M3" s="220"/>
      <c r="N3" s="219">
        <v>15</v>
      </c>
      <c r="O3" s="220"/>
      <c r="P3" s="219" t="s">
        <v>710</v>
      </c>
      <c r="Q3" s="221"/>
      <c r="R3" s="222">
        <v>7</v>
      </c>
      <c r="S3" s="223"/>
      <c r="T3" s="222">
        <v>8</v>
      </c>
      <c r="U3" s="223"/>
      <c r="V3" s="222">
        <v>9</v>
      </c>
      <c r="W3" s="223"/>
      <c r="X3" s="222">
        <v>10</v>
      </c>
      <c r="Y3" s="223"/>
      <c r="Z3" s="222" t="s">
        <v>710</v>
      </c>
      <c r="AA3" s="223"/>
      <c r="AB3" s="224">
        <v>12</v>
      </c>
      <c r="AC3" s="225"/>
      <c r="AD3" s="224">
        <v>13</v>
      </c>
      <c r="AE3" s="225"/>
      <c r="AF3" s="224" t="s">
        <v>710</v>
      </c>
      <c r="AG3" s="225"/>
    </row>
    <row r="4" spans="1:34" s="601" customFormat="1">
      <c r="B4" s="602">
        <v>2009</v>
      </c>
      <c r="C4" s="603">
        <v>2010</v>
      </c>
      <c r="D4" s="602">
        <v>2009</v>
      </c>
      <c r="E4" s="603">
        <v>2010</v>
      </c>
      <c r="F4" s="602">
        <v>2009</v>
      </c>
      <c r="G4" s="603">
        <v>2010</v>
      </c>
      <c r="H4" s="602">
        <v>2009</v>
      </c>
      <c r="I4" s="603">
        <v>2010</v>
      </c>
      <c r="J4" s="602">
        <v>2009</v>
      </c>
      <c r="K4" s="603">
        <v>2010</v>
      </c>
      <c r="L4" s="602">
        <v>2009</v>
      </c>
      <c r="M4" s="603">
        <v>2010</v>
      </c>
      <c r="N4" s="602">
        <v>2009</v>
      </c>
      <c r="O4" s="603">
        <v>2010</v>
      </c>
      <c r="P4" s="602">
        <v>2009</v>
      </c>
      <c r="Q4" s="603">
        <v>2010</v>
      </c>
      <c r="R4" s="604">
        <v>2009</v>
      </c>
      <c r="S4" s="605">
        <v>2010</v>
      </c>
      <c r="T4" s="604">
        <v>2009</v>
      </c>
      <c r="U4" s="605">
        <v>2010</v>
      </c>
      <c r="V4" s="604">
        <v>2009</v>
      </c>
      <c r="W4" s="605">
        <v>2010</v>
      </c>
      <c r="X4" s="604">
        <v>2009</v>
      </c>
      <c r="Y4" s="605">
        <v>2010</v>
      </c>
      <c r="Z4" s="604">
        <v>2009</v>
      </c>
      <c r="AA4" s="605">
        <v>2010</v>
      </c>
      <c r="AB4" s="606">
        <v>2009</v>
      </c>
      <c r="AC4" s="607">
        <v>2010</v>
      </c>
      <c r="AD4" s="606">
        <v>2009</v>
      </c>
      <c r="AE4" s="607">
        <v>2010</v>
      </c>
      <c r="AF4" s="606">
        <v>2009</v>
      </c>
      <c r="AG4" s="607">
        <v>2010</v>
      </c>
      <c r="AH4" s="608"/>
    </row>
    <row r="5" spans="1:34">
      <c r="A5" s="226" t="s">
        <v>653</v>
      </c>
      <c r="B5" s="227">
        <f>GETPIVOTDATA("Sum of OLD-Tot UG SCH Calc",'Pivot Table for Fact Book'!$A$3,"State","AL","type",1,"Type2","Four-Year")</f>
        <v>1465149</v>
      </c>
      <c r="C5" s="228">
        <f>GETPIVOTDATA("Sum of NEW-Tot UG SCH Calc",'Pivot Table for Fact Book'!$A$3,"State","AL","type",1,"Type2","Four-Year")</f>
        <v>1500763</v>
      </c>
      <c r="D5" s="227">
        <f>GETPIVOTDATA("Sum of OLD-Tot UG SCH Calc",'Pivot Table for Fact Book'!$A$3,"State","AL","type",2,"Type2","Four-Year")</f>
        <v>149784</v>
      </c>
      <c r="E5" s="228">
        <f>GETPIVOTDATA("Sum of NEW-Tot UG SCH Calc",'Pivot Table for Fact Book'!$A$3,"State","AL","type",2,"Type2","Four-Year")</f>
        <v>157888</v>
      </c>
      <c r="F5" s="227">
        <f>GETPIVOTDATA("Sum of OLD-Tot UG SCH Calc",'Pivot Table for Fact Book'!$A$3,"State","AL","type",3,"Type2","Four-Year")</f>
        <v>902530</v>
      </c>
      <c r="G5" s="228">
        <f>GETPIVOTDATA("Sum of NEW-Tot UG SCH Calc",'Pivot Table for Fact Book'!$A$3,"State","AL","type",3,"Type2","Four-Year")</f>
        <v>931035</v>
      </c>
      <c r="H5" s="227">
        <f>GETPIVOTDATA("Sum of OLD-Tot UG SCH Calc",'Pivot Table for Fact Book'!$A$3,"State","AL","type",4,"Type2","Four-Year")</f>
        <v>407413</v>
      </c>
      <c r="I5" s="228">
        <f>GETPIVOTDATA("Sum of NEW-Tot UG SCH Calc",'Pivot Table for Fact Book'!$A$3,"State","AL","type",4,"Type2","Four-Year")</f>
        <v>413035</v>
      </c>
      <c r="J5" s="227">
        <f>GETPIVOTDATA("Sum of OLD-Tot UG SCH Calc",'Pivot Table for Fact Book'!$A$3,"State","AL","type",5,"Type2","Four-Year")</f>
        <v>121448</v>
      </c>
      <c r="K5" s="228">
        <f>GETPIVOTDATA("Sum of NEW-Tot UG SCH Calc",'Pivot Table for Fact Book'!$A$3,"State","AL","type",5,"Type2","Four-Year")</f>
        <v>125551</v>
      </c>
      <c r="L5" s="227">
        <f>GETPIVOTDATA("Sum of OLD-Tot UG SCH Calc",'Pivot Table for Fact Book'!$A$3,"State","AL","type",6,"Type2","Four-Year")</f>
        <v>79691</v>
      </c>
      <c r="M5" s="228">
        <f>GETPIVOTDATA("Sum of NEW-Tot UG SCH Calc",'Pivot Table for Fact Book'!$A$3,"State","AL","type",6,"Type2","Four-Year")</f>
        <v>83699</v>
      </c>
      <c r="N5" s="227">
        <f>GETPIVOTDATA("Sum of OLD-Tot UG SCH Calc",'Pivot Table for Fact Book'!$A$3,"State","AL","type",15,"Type2","Four-Year")</f>
        <v>0</v>
      </c>
      <c r="O5" s="228">
        <f>GETPIVOTDATA("Sum of NEW-Tot UG SCH Calc",'Pivot Table for Fact Book'!$A$3,"State","AL","type",15,"Type2","Four-Year")</f>
        <v>0</v>
      </c>
      <c r="P5" s="229">
        <f>GETPIVOTDATA("Sum of OLD-Tot UG SCH Calc",'Pivot Table for Fact Book'!$A$3,"State","AL","Type2","Four-Year")</f>
        <v>3126015</v>
      </c>
      <c r="Q5" s="229">
        <f>GETPIVOTDATA("Sum of NEW-Tot UG SCH Calc",'Pivot Table for Fact Book'!$A$3,"State","AL","Type2","Four-Year")</f>
        <v>3211971</v>
      </c>
      <c r="R5" s="227">
        <f>GETPIVOTDATA("Sum of OLD-Tot UG SCH Calc",'Pivot Table for Fact Book'!$A$3,"State","AL","type",7,"Type2","Two-Year")</f>
        <v>0</v>
      </c>
      <c r="S5" s="230">
        <f>GETPIVOTDATA("Sum of NEW-Tot UG SCH Calc",'Pivot Table for Fact Book'!$A$3,"State","AL","type",7,"Type2","Two-Year")</f>
        <v>0</v>
      </c>
      <c r="T5" s="230">
        <f>GETPIVOTDATA("Sum of OLD-Tot UG SCH Calc",'Pivot Table for Fact Book'!$A$3,"State","AL","type",8,"Type2","Two-Year")</f>
        <v>375311</v>
      </c>
      <c r="U5" s="230">
        <f>GETPIVOTDATA("Sum of NEW-Tot UG SCH Calc",'Pivot Table for Fact Book'!$A$3,"State","AL","type",8,"Type2","Two-Year")</f>
        <v>399930</v>
      </c>
      <c r="V5" s="230">
        <f>GETPIVOTDATA("Sum of OLD-Tot UG SCH Calc",'Pivot Table for Fact Book'!$A$3,"State","AL","type",9,"Type2","Two-Year")</f>
        <v>1068670</v>
      </c>
      <c r="W5" s="230">
        <f>GETPIVOTDATA("Sum of NEW-Tot UG SCH Calc",'Pivot Table for Fact Book'!$A$3,"State","AL","type",9,"Type2","Two-Year")</f>
        <v>1203835</v>
      </c>
      <c r="X5" s="230">
        <f>GETPIVOTDATA("Sum of OLD-Tot UG SCH Calc",'Pivot Table for Fact Book'!$A$3,"State","AL","type",10,"Type2","Two-Year")</f>
        <v>438826</v>
      </c>
      <c r="Y5" s="230">
        <f>GETPIVOTDATA("Sum of NEW-Tot UG SCH Calc",'Pivot Table for Fact Book'!$A$3,"State","AL","type",10,"Type2","Two-Year")</f>
        <v>482971</v>
      </c>
      <c r="Z5" s="231">
        <f>GETPIVOTDATA("Sum of OLD-Tot UG SCH Calc",'Pivot Table for Fact Book'!$A$3,"State","AL","Type2","Two-Year")</f>
        <v>1882807</v>
      </c>
      <c r="AA5" s="231">
        <f>GETPIVOTDATA("Sum of NEW-Tot UG SCH Calc",'Pivot Table for Fact Book'!$A$3,"State","AL","Type2","Two-Year")</f>
        <v>2086736</v>
      </c>
      <c r="AB5" s="227">
        <f>GETPIVOTDATA("Sum of OLD-Tot UG SCH Calc",'Pivot Table for Fact Book'!$A$3,"State","AL","type",12,"Type2","Technical")</f>
        <v>36758</v>
      </c>
      <c r="AC5" s="230">
        <f>GETPIVOTDATA("Sum of NEW-Tot UG SCH Calc",'Pivot Table for Fact Book'!$A$3,"State","AL","type",12,"Type2","Technical")</f>
        <v>44426</v>
      </c>
      <c r="AD5" s="227">
        <f>GETPIVOTDATA("Sum of OLD-Tot UG SCH Calc",'Pivot Table for Fact Book'!$A$3,"State","AL","type",13,"Type2","Technical")</f>
        <v>15632</v>
      </c>
      <c r="AE5" s="230">
        <f>GETPIVOTDATA("Sum of NEW-Tot UG SCH Calc",'Pivot Table for Fact Book'!$A$3,"State","AL","type",13,"Type2","Technical")</f>
        <v>20285</v>
      </c>
      <c r="AF5" s="232">
        <f>GETPIVOTDATA("Sum of OLD-Tot UG SCH Calc",'Pivot Table for Fact Book'!$A$3,"State","AL","Type2","Technical")</f>
        <v>52390</v>
      </c>
      <c r="AG5" s="233">
        <f>GETPIVOTDATA("Sum of NEW-Tot UG SCH Calc",'Pivot Table for Fact Book'!$A$3,"State","AL","Type2","Technical")</f>
        <v>64711</v>
      </c>
      <c r="AH5" s="27"/>
    </row>
    <row r="6" spans="1:34">
      <c r="A6" s="226" t="s">
        <v>654</v>
      </c>
      <c r="B6" s="227">
        <f>GETPIVOTDATA("Sum of OLD-Tot UG SCH Calc",'Pivot Table for Fact Book'!$A$3,"State","AR","type",1,"Type2","Four-Year")</f>
        <v>428450</v>
      </c>
      <c r="C6" s="228">
        <f>GETPIVOTDATA("Sum of NEW-Tot UG SCH Calc",'Pivot Table for Fact Book'!$A$3,"State","AR","type",1,"Type2","Four-Year")</f>
        <v>440897</v>
      </c>
      <c r="D6" s="227">
        <f>GETPIVOTDATA("Sum of OLD-Tot UG SCH Calc",'Pivot Table for Fact Book'!$A$3,"State","AR","type",2,"Type2","Four-Year")</f>
        <v>0</v>
      </c>
      <c r="E6" s="228">
        <f>GETPIVOTDATA("Sum of NEW-Tot UG SCH Calc",'Pivot Table for Fact Book'!$A$3,"State","AR","type",2,"Type2","Four-Year")</f>
        <v>0</v>
      </c>
      <c r="F6" s="227">
        <f>GETPIVOTDATA("Sum of OLD-Tot UG SCH Calc",'Pivot Table for Fact Book'!$A$3,"State","AR","type",3,"Type2","Four-Year")</f>
        <v>768421</v>
      </c>
      <c r="G6" s="228">
        <f>GETPIVOTDATA("Sum of NEW-Tot UG SCH Calc",'Pivot Table for Fact Book'!$A$3,"State","AR","type",3,"Type2","Four-Year")</f>
        <v>774318</v>
      </c>
      <c r="H6" s="227">
        <f>GETPIVOTDATA("Sum of OLD-Tot UG SCH Calc",'Pivot Table for Fact Book'!$A$3,"State","AR","type",4,"Type2","Four-Year")</f>
        <v>280066</v>
      </c>
      <c r="I6" s="228">
        <f>GETPIVOTDATA("Sum of NEW-Tot UG SCH Calc",'Pivot Table for Fact Book'!$A$3,"State","AR","type",4,"Type2","Four-Year")</f>
        <v>275738</v>
      </c>
      <c r="J6" s="227">
        <f>GETPIVOTDATA("Sum of OLD-Tot UG SCH Calc",'Pivot Table for Fact Book'!$A$3,"State","AR","type",5,"Type2","Four-Year")</f>
        <v>154608</v>
      </c>
      <c r="K6" s="228">
        <f>GETPIVOTDATA("Sum of NEW-Tot UG SCH Calc",'Pivot Table for Fact Book'!$A$3,"State","AR","type",5,"Type2","Four-Year")</f>
        <v>143643</v>
      </c>
      <c r="L6" s="227">
        <f>GETPIVOTDATA("Sum of OLD-Tot UG SCH Calc",'Pivot Table for Fact Book'!$A$3,"State","AR","type",6,"Type2","Four-Year")</f>
        <v>251217</v>
      </c>
      <c r="M6" s="228">
        <f>GETPIVOTDATA("Sum of NEW-Tot UG SCH Calc",'Pivot Table for Fact Book'!$A$3,"State","AR","type",6,"Type2","Four-Year")</f>
        <v>273473</v>
      </c>
      <c r="N6" s="227">
        <f>GETPIVOTDATA("Sum of OLD-Tot UG SCH Calc",'Pivot Table for Fact Book'!$A$3,"State","AR","type",15,"Type2","Four-Year")</f>
        <v>0</v>
      </c>
      <c r="O6" s="228">
        <f>GETPIVOTDATA("Sum of NEW-Tot UG SCH Calc",'Pivot Table for Fact Book'!$A$3,"State","AR","type",15,"Type2","Four-Year")</f>
        <v>0</v>
      </c>
      <c r="P6" s="229">
        <f>GETPIVOTDATA("Sum of OLD-Tot UG SCH Calc",'Pivot Table for Fact Book'!$A$3,"State","AR","Type2","Four-Year")</f>
        <v>1882762</v>
      </c>
      <c r="Q6" s="229">
        <f>GETPIVOTDATA("Sum of NEW-Tot UG SCH Calc",'Pivot Table for Fact Book'!$A$3,"State","AR","Type2","Four-Year")</f>
        <v>1908069</v>
      </c>
      <c r="R6" s="227">
        <f>GETPIVOTDATA("Sum of OLD-Tot UG SCH Calc",'Pivot Table for Fact Book'!$A$3,"State","AR","type",7,"Type2","Two-Year")</f>
        <v>0</v>
      </c>
      <c r="S6" s="230">
        <f>GETPIVOTDATA("Sum of NEW-Tot UG SCH Calc",'Pivot Table for Fact Book'!$A$3,"State","AR","type",7,"Type2","Two-Year")</f>
        <v>0</v>
      </c>
      <c r="T6" s="230">
        <f>GETPIVOTDATA("Sum of OLD-Tot UG SCH Calc",'Pivot Table for Fact Book'!$A$3,"State","AR","type",8,"Type2","Two-Year")</f>
        <v>190235</v>
      </c>
      <c r="U6" s="230">
        <f>GETPIVOTDATA("Sum of NEW-Tot UG SCH Calc",'Pivot Table for Fact Book'!$A$3,"State","AR","type",8,"Type2","Two-Year")</f>
        <v>212397</v>
      </c>
      <c r="V6" s="230">
        <f>GETPIVOTDATA("Sum of OLD-Tot UG SCH Calc",'Pivot Table for Fact Book'!$A$3,"State","AR","type",9,"Type2","Two-Year")</f>
        <v>231545</v>
      </c>
      <c r="W6" s="230">
        <f>GETPIVOTDATA("Sum of NEW-Tot UG SCH Calc",'Pivot Table for Fact Book'!$A$3,"State","AR","type",9,"Type2","Two-Year")</f>
        <v>254364</v>
      </c>
      <c r="X6" s="230">
        <f>GETPIVOTDATA("Sum of OLD-Tot UG SCH Calc",'Pivot Table for Fact Book'!$A$3,"State","AR","type",10,"Type2","Two-Year")</f>
        <v>680448</v>
      </c>
      <c r="Y6" s="230">
        <f>GETPIVOTDATA("Sum of NEW-Tot UG SCH Calc",'Pivot Table for Fact Book'!$A$3,"State","AR","type",10,"Type2","Two-Year")</f>
        <v>754620</v>
      </c>
      <c r="Z6" s="231">
        <f>GETPIVOTDATA("Sum of OLD-Tot UG SCH Calc",'Pivot Table for Fact Book'!$A$3,"State","AR","Type2","Two-Year")</f>
        <v>1102228</v>
      </c>
      <c r="AA6" s="231">
        <f>GETPIVOTDATA("Sum of NEW-Tot UG SCH Calc",'Pivot Table for Fact Book'!$A$3,"State","AR","Type2","Two-Year")</f>
        <v>1221381</v>
      </c>
      <c r="AB6" s="227">
        <f>GETPIVOTDATA("Sum of OLD-Tot UG SCH Calc",'Pivot Table for Fact Book'!$A$3,"State","AR","type",12,"Type2","Technical")</f>
        <v>0</v>
      </c>
      <c r="AC6" s="230">
        <f>GETPIVOTDATA("Sum of NEW-Tot UG SCH Calc",'Pivot Table for Fact Book'!$A$3,"State","AR","type",12,"Type2","Technical")</f>
        <v>0</v>
      </c>
      <c r="AD6" s="227">
        <f>GETPIVOTDATA("Sum of OLD-Tot UG SCH Calc",'Pivot Table for Fact Book'!$A$3,"State","AR","type",13,"Type2","Technical")</f>
        <v>0</v>
      </c>
      <c r="AE6" s="230">
        <f>GETPIVOTDATA("Sum of NEW-Tot UG SCH Calc",'Pivot Table for Fact Book'!$A$3,"State","AR","type",13,"Type2","Technical")</f>
        <v>0</v>
      </c>
      <c r="AF6" s="232">
        <f>GETPIVOTDATA("Sum of OLD-Tot UG SCH Calc",'Pivot Table for Fact Book'!$A$3,"State","AR","Type2","Technical")</f>
        <v>0</v>
      </c>
      <c r="AG6" s="233">
        <f>GETPIVOTDATA("Sum of NEW-Tot UG SCH Calc",'Pivot Table for Fact Book'!$A$3,"State","AR","Type2","Technical")</f>
        <v>0</v>
      </c>
      <c r="AH6" s="27"/>
    </row>
    <row r="7" spans="1:34">
      <c r="A7" s="226" t="s">
        <v>655</v>
      </c>
      <c r="B7" s="227">
        <f>GETPIVOTDATA("Sum of OLD-Tot UG SCH Calc",'Pivot Table for Fact Book'!$A$3,"State","DE","type",1,"Type2","Four-Year")</f>
        <v>505108</v>
      </c>
      <c r="C7" s="228">
        <f>GETPIVOTDATA("Sum of NEW-Tot UG SCH Calc",'Pivot Table for Fact Book'!$A$3,"State","DE","type",1,"Type2","Four-Year")</f>
        <v>513975</v>
      </c>
      <c r="D7" s="227">
        <f>GETPIVOTDATA("Sum of OLD-Tot UG SCH Calc",'Pivot Table for Fact Book'!$A$3,"State","DE","type",2,"Type2","Four-Year")</f>
        <v>0</v>
      </c>
      <c r="E7" s="228">
        <f>GETPIVOTDATA("Sum of NEW-Tot UG SCH Calc",'Pivot Table for Fact Book'!$A$3,"State","DE","type",2,"Type2","Four-Year")</f>
        <v>0</v>
      </c>
      <c r="F7" s="227">
        <f>GETPIVOTDATA("Sum of OLD-Tot UG SCH Calc",'Pivot Table for Fact Book'!$A$3,"State","DE","type",3,"Type2","Four-Year")</f>
        <v>0</v>
      </c>
      <c r="G7" s="228">
        <f>GETPIVOTDATA("Sum of NEW-Tot UG SCH Calc",'Pivot Table for Fact Book'!$A$3,"State","DE","type",3,"Type2","Four-Year")</f>
        <v>0</v>
      </c>
      <c r="H7" s="227">
        <f>GETPIVOTDATA("Sum of OLD-Tot UG SCH Calc",'Pivot Table for Fact Book'!$A$3,"State","DE","type",4,"Type2","Four-Year")</f>
        <v>96583</v>
      </c>
      <c r="I7" s="228">
        <f>GETPIVOTDATA("Sum of NEW-Tot UG SCH Calc",'Pivot Table for Fact Book'!$A$3,"State","DE","type",4,"Type2","Four-Year")</f>
        <v>92917</v>
      </c>
      <c r="J7" s="227">
        <f>GETPIVOTDATA("Sum of OLD-Tot UG SCH Calc",'Pivot Table for Fact Book'!$A$3,"State","DE","type",5,"Type2","Four-Year")</f>
        <v>0</v>
      </c>
      <c r="K7" s="228">
        <f>GETPIVOTDATA("Sum of NEW-Tot UG SCH Calc",'Pivot Table for Fact Book'!$A$3,"State","DE","type",5,"Type2","Four-Year")</f>
        <v>0</v>
      </c>
      <c r="L7" s="227">
        <f>GETPIVOTDATA("Sum of OLD-Tot UG SCH Calc",'Pivot Table for Fact Book'!$A$3,"State","DE","type",6,"Type2","Four-Year")</f>
        <v>0</v>
      </c>
      <c r="M7" s="228">
        <f>GETPIVOTDATA("Sum of NEW-Tot UG SCH Calc",'Pivot Table for Fact Book'!$A$3,"State","DE","type",6,"Type2","Four-Year")</f>
        <v>0</v>
      </c>
      <c r="N7" s="227">
        <f>GETPIVOTDATA("Sum of OLD-Tot UG SCH Calc",'Pivot Table for Fact Book'!$A$3,"State","DE","type",15,"Type2","Four-Year")</f>
        <v>0</v>
      </c>
      <c r="O7" s="228">
        <f>GETPIVOTDATA("Sum of NEW-Tot UG SCH Calc",'Pivot Table for Fact Book'!$A$3,"State","DE","type",15,"Type2","Four-Year")</f>
        <v>0</v>
      </c>
      <c r="P7" s="229">
        <f>GETPIVOTDATA("Sum of OLD-Tot UG SCH Calc",'Pivot Table for Fact Book'!$A$3,"State","DE","Type2","Four-Year")</f>
        <v>601691</v>
      </c>
      <c r="Q7" s="229">
        <f>GETPIVOTDATA("Sum of NEW-Tot UG SCH Calc",'Pivot Table for Fact Book'!$A$3,"State","DE","Type2","Four-Year")</f>
        <v>606892</v>
      </c>
      <c r="R7" s="227">
        <f>GETPIVOTDATA("Sum of OLD-Tot UG SCH Calc",'Pivot Table for Fact Book'!$A$3,"State","DE","type",7,"Type2","Two-Year")</f>
        <v>0</v>
      </c>
      <c r="S7" s="230">
        <f>GETPIVOTDATA("Sum of NEW-Tot UG SCH Calc",'Pivot Table for Fact Book'!$A$3,"State","DE","type",7,"Type2","Two-Year")</f>
        <v>0</v>
      </c>
      <c r="T7" s="230">
        <f>GETPIVOTDATA("Sum of OLD-Tot UG SCH Calc",'Pivot Table for Fact Book'!$A$3,"State","DE","type",8,"Type2","Two-Year")</f>
        <v>0</v>
      </c>
      <c r="U7" s="230">
        <f>GETPIVOTDATA("Sum of NEW-Tot UG SCH Calc",'Pivot Table for Fact Book'!$A$3,"State","DE","type",8,"Type2","Two-Year")</f>
        <v>0</v>
      </c>
      <c r="V7" s="230">
        <f>GETPIVOTDATA("Sum of OLD-Tot UG SCH Calc",'Pivot Table for Fact Book'!$A$3,"State","DE","type",9,"Type2","Two-Year")</f>
        <v>224367</v>
      </c>
      <c r="W7" s="230">
        <f>GETPIVOTDATA("Sum of NEW-Tot UG SCH Calc",'Pivot Table for Fact Book'!$A$3,"State","DE","type",9,"Type2","Two-Year")</f>
        <v>254936</v>
      </c>
      <c r="X7" s="230">
        <f>GETPIVOTDATA("Sum of OLD-Tot UG SCH Calc",'Pivot Table for Fact Book'!$A$3,"State","DE","type",10,"Type2","Two-Year")</f>
        <v>64910</v>
      </c>
      <c r="Y7" s="230">
        <f>GETPIVOTDATA("Sum of NEW-Tot UG SCH Calc",'Pivot Table for Fact Book'!$A$3,"State","DE","type",10,"Type2","Two-Year")</f>
        <v>72272</v>
      </c>
      <c r="Z7" s="231">
        <f>GETPIVOTDATA("Sum of OLD-Tot UG SCH Calc",'Pivot Table for Fact Book'!$A$3,"State","DE","Type2","Two-Year")</f>
        <v>289277</v>
      </c>
      <c r="AA7" s="231">
        <f>GETPIVOTDATA("Sum of NEW-Tot UG SCH Calc",'Pivot Table for Fact Book'!$A$3,"State","DE","Type2","Two-Year")</f>
        <v>327208</v>
      </c>
      <c r="AB7" s="227">
        <f>GETPIVOTDATA("Sum of OLD-Tot UG SCH Calc",'Pivot Table for Fact Book'!$A$3,"State","DE","type",12,"Type2","Technical")</f>
        <v>0</v>
      </c>
      <c r="AC7" s="230">
        <f>GETPIVOTDATA("Sum of NEW-Tot UG SCH Calc",'Pivot Table for Fact Book'!$A$3,"State","DE","type",12,"Type2","Technical")</f>
        <v>0</v>
      </c>
      <c r="AD7" s="227">
        <f>GETPIVOTDATA("Sum of OLD-Tot UG SCH Calc",'Pivot Table for Fact Book'!$A$3,"State","DE","type",13,"Type2","Technical")</f>
        <v>0</v>
      </c>
      <c r="AE7" s="230">
        <f>GETPIVOTDATA("Sum of NEW-Tot UG SCH Calc",'Pivot Table for Fact Book'!$A$3,"State","DE","type",13,"Type2","Technical")</f>
        <v>0</v>
      </c>
      <c r="AF7" s="232">
        <f>GETPIVOTDATA("Sum of OLD-Tot UG SCH Calc",'Pivot Table for Fact Book'!$A$3,"State","DE","Type2","Technical")</f>
        <v>0</v>
      </c>
      <c r="AG7" s="233">
        <f>GETPIVOTDATA("Sum of NEW-Tot UG SCH Calc",'Pivot Table for Fact Book'!$A$3,"State","DE","Type2","Technical")</f>
        <v>0</v>
      </c>
      <c r="AH7" s="27"/>
    </row>
    <row r="8" spans="1:34">
      <c r="A8" s="226" t="s">
        <v>656</v>
      </c>
      <c r="B8" s="227">
        <f>GETPIVOTDATA("Sum of OLD-Tot UG SCH Calc",'Pivot Table for Fact Book'!$A$3,"State","FL","type",1,"Type2","Four-Year")</f>
        <v>4905170.4000000004</v>
      </c>
      <c r="C8" s="228">
        <f>GETPIVOTDATA("Sum of NEW-Tot UG SCH Calc",'Pivot Table for Fact Book'!$A$3,"State","FL","type",1,"Type2","Four-Year")</f>
        <v>4994770</v>
      </c>
      <c r="D8" s="227">
        <f>GETPIVOTDATA("Sum of OLD-Tot UG SCH Calc",'Pivot Table for Fact Book'!$A$3,"State","FL","type",2,"Type2","Four-Year")</f>
        <v>519541</v>
      </c>
      <c r="E8" s="228">
        <f>GETPIVOTDATA("Sum of NEW-Tot UG SCH Calc",'Pivot Table for Fact Book'!$A$3,"State","FL","type",2,"Type2","Four-Year")</f>
        <v>539048</v>
      </c>
      <c r="F8" s="227">
        <f>GETPIVOTDATA("Sum of OLD-Tot UG SCH Calc",'Pivot Table for Fact Book'!$A$3,"State","FL","type",3,"Type2","Four-Year")</f>
        <v>888061</v>
      </c>
      <c r="G8" s="228">
        <f>GETPIVOTDATA("Sum of NEW-Tot UG SCH Calc",'Pivot Table for Fact Book'!$A$3,"State","FL","type",3,"Type2","Four-Year")</f>
        <v>905161</v>
      </c>
      <c r="H8" s="227">
        <f>GETPIVOTDATA("Sum of OLD-Tot UG SCH Calc",'Pivot Table for Fact Book'!$A$3,"State","FL","type",4,"Type2","Four-Year")</f>
        <v>224810</v>
      </c>
      <c r="I8" s="228">
        <f>GETPIVOTDATA("Sum of NEW-Tot UG SCH Calc",'Pivot Table for Fact Book'!$A$3,"State","FL","type",4,"Type2","Four-Year")</f>
        <v>247828</v>
      </c>
      <c r="J8" s="227">
        <f>GETPIVOTDATA("Sum of OLD-Tot UG SCH Calc",'Pivot Table for Fact Book'!$A$3,"State","FL","type",5,"Type2","Four-Year")</f>
        <v>0</v>
      </c>
      <c r="K8" s="228">
        <f>GETPIVOTDATA("Sum of NEW-Tot UG SCH Calc",'Pivot Table for Fact Book'!$A$3,"State","FL","type",5,"Type2","Four-Year")</f>
        <v>0</v>
      </c>
      <c r="L8" s="227">
        <f>GETPIVOTDATA("Sum of OLD-Tot UG SCH Calc",'Pivot Table for Fact Book'!$A$3,"State","FL","type",6,"Type2","Four-Year")</f>
        <v>26948</v>
      </c>
      <c r="M8" s="228">
        <f>GETPIVOTDATA("Sum of NEW-Tot UG SCH Calc",'Pivot Table for Fact Book'!$A$3,"State","FL","type",6,"Type2","Four-Year")</f>
        <v>27872</v>
      </c>
      <c r="N8" s="227">
        <f>GETPIVOTDATA("Sum of OLD-Tot UG SCH Calc",'Pivot Table for Fact Book'!$A$3,"State","FL","type",15,"Type2","Four-Year")</f>
        <v>0</v>
      </c>
      <c r="O8" s="228">
        <f>GETPIVOTDATA("Sum of NEW-Tot UG SCH Calc",'Pivot Table for Fact Book'!$A$3,"State","FL","type",15,"Type2","Four-Year")</f>
        <v>0</v>
      </c>
      <c r="P8" s="229">
        <f>GETPIVOTDATA("Sum of OLD-Tot UG SCH Calc",'Pivot Table for Fact Book'!$A$3,"State","FL","Type2","Four-Year")</f>
        <v>6564530.4000000004</v>
      </c>
      <c r="Q8" s="229">
        <f>GETPIVOTDATA("Sum of NEW-Tot UG SCH Calc",'Pivot Table for Fact Book'!$A$3,"State","FL","Type2","Four-Year")</f>
        <v>6714679</v>
      </c>
      <c r="R8" s="227">
        <f>GETPIVOTDATA("Sum of OLD-Tot UG SCH Calc",'Pivot Table for Fact Book'!$A$3,"State","FL","type",7,"Type2","Two-Year")</f>
        <v>2375383</v>
      </c>
      <c r="S8" s="230">
        <f>GETPIVOTDATA("Sum of NEW-Tot UG SCH Calc",'Pivot Table for Fact Book'!$A$3,"State","FL","type",7,"Type2","Two-Year")</f>
        <v>2603670</v>
      </c>
      <c r="T8" s="230">
        <f>GETPIVOTDATA("Sum of OLD-Tot UG SCH Calc",'Pivot Table for Fact Book'!$A$3,"State","FL","type",8,"Type2","Two-Year")</f>
        <v>5385922</v>
      </c>
      <c r="U8" s="230">
        <f>GETPIVOTDATA("Sum of NEW-Tot UG SCH Calc",'Pivot Table for Fact Book'!$A$3,"State","FL","type",8,"Type2","Two-Year")</f>
        <v>6057236</v>
      </c>
      <c r="V8" s="230">
        <f>GETPIVOTDATA("Sum of OLD-Tot UG SCH Calc",'Pivot Table for Fact Book'!$A$3,"State","FL","type",9,"Type2","Two-Year")</f>
        <v>546671</v>
      </c>
      <c r="W8" s="230">
        <f>GETPIVOTDATA("Sum of NEW-Tot UG SCH Calc",'Pivot Table for Fact Book'!$A$3,"State","FL","type",9,"Type2","Two-Year")</f>
        <v>608528</v>
      </c>
      <c r="X8" s="230">
        <f>GETPIVOTDATA("Sum of OLD-Tot UG SCH Calc",'Pivot Table for Fact Book'!$A$3,"State","FL","type",10,"Type2","Two-Year")</f>
        <v>46494</v>
      </c>
      <c r="Y8" s="230">
        <f>GETPIVOTDATA("Sum of NEW-Tot UG SCH Calc",'Pivot Table for Fact Book'!$A$3,"State","FL","type",10,"Type2","Two-Year")</f>
        <v>50548</v>
      </c>
      <c r="Z8" s="231">
        <f>GETPIVOTDATA("Sum of OLD-Tot UG SCH Calc",'Pivot Table for Fact Book'!$A$3,"State","FL","Type2","Two-Year")</f>
        <v>8354470</v>
      </c>
      <c r="AA8" s="231">
        <f>GETPIVOTDATA("Sum of NEW-Tot UG SCH Calc",'Pivot Table for Fact Book'!$A$3,"State","FL","Type2","Two-Year")</f>
        <v>9319982</v>
      </c>
      <c r="AB8" s="227">
        <f>GETPIVOTDATA("Sum of OLD-Tot UG SCH Calc",'Pivot Table for Fact Book'!$A$3,"State","FL","type",12,"Type2","Technical")</f>
        <v>0</v>
      </c>
      <c r="AC8" s="230">
        <f>GETPIVOTDATA("Sum of NEW-Tot UG SCH Calc",'Pivot Table for Fact Book'!$A$3,"State","FL","type",12,"Type2","Technical")</f>
        <v>0</v>
      </c>
      <c r="AD8" s="227">
        <f>GETPIVOTDATA("Sum of OLD-Tot UG SCH Calc",'Pivot Table for Fact Book'!$A$3,"State","FL","type",13,"Type2","Technical")</f>
        <v>0</v>
      </c>
      <c r="AE8" s="230">
        <f>GETPIVOTDATA("Sum of NEW-Tot UG SCH Calc",'Pivot Table for Fact Book'!$A$3,"State","FL","type",13,"Type2","Technical")</f>
        <v>0</v>
      </c>
      <c r="AF8" s="232">
        <f>GETPIVOTDATA("Sum of OLD-Tot UG SCH Calc",'Pivot Table for Fact Book'!$A$3,"State","FL","Type2","Technical")</f>
        <v>0</v>
      </c>
      <c r="AG8" s="233">
        <f>GETPIVOTDATA("Sum of NEW-Tot UG SCH Calc",'Pivot Table for Fact Book'!$A$3,"State","FL","Type2","Technical")</f>
        <v>0</v>
      </c>
      <c r="AH8" s="27"/>
    </row>
    <row r="9" spans="1:34">
      <c r="A9" s="226" t="s">
        <v>657</v>
      </c>
      <c r="B9" s="227">
        <f>GETPIVOTDATA("Sum of OLD-Tot UG SCH Calc",'Pivot Table for Fact Book'!$A$3,"State","GA","type",1,"Type2","Four-Year")</f>
        <v>0</v>
      </c>
      <c r="C9" s="228">
        <f>GETPIVOTDATA("Sum of NEW-Tot UG SCH Calc",'Pivot Table for Fact Book'!$A$3,"State","GA","type",1,"Type2","Four-Year")</f>
        <v>0</v>
      </c>
      <c r="D9" s="227">
        <f>GETPIVOTDATA("Sum of OLD-Tot UG SCH Calc",'Pivot Table for Fact Book'!$A$3,"State","GA","type",2,"Type2","Four-Year")</f>
        <v>0</v>
      </c>
      <c r="E9" s="228">
        <f>GETPIVOTDATA("Sum of NEW-Tot UG SCH Calc",'Pivot Table for Fact Book'!$A$3,"State","GA","type",2,"Type2","Four-Year")</f>
        <v>0</v>
      </c>
      <c r="F9" s="227">
        <f>GETPIVOTDATA("Sum of OLD-Tot UG SCH Calc",'Pivot Table for Fact Book'!$A$3,"State","GA","type",3,"Type2","Four-Year")</f>
        <v>0</v>
      </c>
      <c r="G9" s="228">
        <f>GETPIVOTDATA("Sum of NEW-Tot UG SCH Calc",'Pivot Table for Fact Book'!$A$3,"State","GA","type",3,"Type2","Four-Year")</f>
        <v>0</v>
      </c>
      <c r="H9" s="227">
        <f>GETPIVOTDATA("Sum of OLD-Tot UG SCH Calc",'Pivot Table for Fact Book'!$A$3,"State","GA","type",4,"Type2","Four-Year")</f>
        <v>0</v>
      </c>
      <c r="I9" s="228">
        <f>GETPIVOTDATA("Sum of NEW-Tot UG SCH Calc",'Pivot Table for Fact Book'!$A$3,"State","GA","type",4,"Type2","Four-Year")</f>
        <v>0</v>
      </c>
      <c r="J9" s="227">
        <f>GETPIVOTDATA("Sum of OLD-Tot UG SCH Calc",'Pivot Table for Fact Book'!$A$3,"State","GA","type",5,"Type2","Four-Year")</f>
        <v>0</v>
      </c>
      <c r="K9" s="228">
        <f>GETPIVOTDATA("Sum of NEW-Tot UG SCH Calc",'Pivot Table for Fact Book'!$A$3,"State","GA","type",5,"Type2","Four-Year")</f>
        <v>0</v>
      </c>
      <c r="L9" s="227">
        <f>GETPIVOTDATA("Sum of OLD-Tot UG SCH Calc",'Pivot Table for Fact Book'!$A$3,"State","GA","type",6,"Type2","Four-Year")</f>
        <v>0</v>
      </c>
      <c r="M9" s="228">
        <f>GETPIVOTDATA("Sum of NEW-Tot UG SCH Calc",'Pivot Table for Fact Book'!$A$3,"State","GA","type",6,"Type2","Four-Year")</f>
        <v>0</v>
      </c>
      <c r="N9" s="227">
        <f>GETPIVOTDATA("Sum of OLD-Tot UG SCH Calc",'Pivot Table for Fact Book'!$A$3,"State","GA","type",15,"Type2","Four-Year")</f>
        <v>0</v>
      </c>
      <c r="O9" s="228">
        <f>GETPIVOTDATA("Sum of NEW-Tot UG SCH Calc",'Pivot Table for Fact Book'!$A$3,"State","GA","type",15,"Type2","Four-Year")</f>
        <v>0</v>
      </c>
      <c r="P9" s="229">
        <f>GETPIVOTDATA("Sum of OLD-Tot UG SCH Calc",'Pivot Table for Fact Book'!$A$3,"State","GA","Type2","Four-Year")</f>
        <v>0</v>
      </c>
      <c r="Q9" s="229">
        <f>GETPIVOTDATA("Sum of NEW-Tot UG SCH Calc",'Pivot Table for Fact Book'!$A$3,"State","GA","Type2","Four-Year")</f>
        <v>0</v>
      </c>
      <c r="R9" s="227">
        <f>GETPIVOTDATA("Sum of OLD-Tot UG SCH Calc",'Pivot Table for Fact Book'!$A$3,"State","GA","type",7,"Type2","Two-Year")</f>
        <v>0</v>
      </c>
      <c r="S9" s="230">
        <f>GETPIVOTDATA("Sum of NEW-Tot UG SCH Calc",'Pivot Table for Fact Book'!$A$3,"State","GA","type",7,"Type2","Two-Year")</f>
        <v>0</v>
      </c>
      <c r="T9" s="230">
        <f>GETPIVOTDATA("Sum of OLD-Tot UG SCH Calc",'Pivot Table for Fact Book'!$A$3,"State","GA","type",8,"Type2","Two-Year")</f>
        <v>0</v>
      </c>
      <c r="U9" s="230">
        <f>GETPIVOTDATA("Sum of NEW-Tot UG SCH Calc",'Pivot Table for Fact Book'!$A$3,"State","GA","type",8,"Type2","Two-Year")</f>
        <v>0</v>
      </c>
      <c r="V9" s="230">
        <f>GETPIVOTDATA("Sum of OLD-Tot UG SCH Calc",'Pivot Table for Fact Book'!$A$3,"State","GA","type",9,"Type2","Two-Year")</f>
        <v>0</v>
      </c>
      <c r="W9" s="230">
        <f>GETPIVOTDATA("Sum of NEW-Tot UG SCH Calc",'Pivot Table for Fact Book'!$A$3,"State","GA","type",9,"Type2","Two-Year")</f>
        <v>0</v>
      </c>
      <c r="X9" s="230">
        <f>GETPIVOTDATA("Sum of OLD-Tot UG SCH Calc",'Pivot Table for Fact Book'!$A$3,"State","GA","type",10,"Type2","Two-Year")</f>
        <v>0</v>
      </c>
      <c r="Y9" s="230">
        <f>GETPIVOTDATA("Sum of NEW-Tot UG SCH Calc",'Pivot Table for Fact Book'!$A$3,"State","GA","type",10,"Type2","Two-Year")</f>
        <v>0</v>
      </c>
      <c r="Z9" s="231">
        <f>GETPIVOTDATA("Sum of OLD-Tot UG SCH Calc",'Pivot Table for Fact Book'!$A$3,"State","GA","Type2","Two-Year")</f>
        <v>0</v>
      </c>
      <c r="AA9" s="231">
        <f>GETPIVOTDATA("Sum of NEW-Tot UG SCH Calc",'Pivot Table for Fact Book'!$A$3,"State","GA","Type2","Two-Year")</f>
        <v>0</v>
      </c>
      <c r="AB9" s="227">
        <f>GETPIVOTDATA("Sum of OLD-Tot UG SCH Calc",'Pivot Table for Fact Book'!$A$3,"State","GA","type",12,"Type2","Technical")</f>
        <v>3163461.3</v>
      </c>
      <c r="AC9" s="230">
        <f>GETPIVOTDATA("Sum of NEW-Tot UG SCH Calc",'Pivot Table for Fact Book'!$A$3,"State","GA","type",12,"Type2","Technical")</f>
        <v>3802505.9</v>
      </c>
      <c r="AD9" s="227">
        <f>GETPIVOTDATA("Sum of OLD-Tot UG SCH Calc",'Pivot Table for Fact Book'!$A$3,"State","GA","type",13,"Type2","Technical")</f>
        <v>95524.9</v>
      </c>
      <c r="AE9" s="230">
        <f>GETPIVOTDATA("Sum of NEW-Tot UG SCH Calc",'Pivot Table for Fact Book'!$A$3,"State","GA","type",13,"Type2","Technical")</f>
        <v>120325.3</v>
      </c>
      <c r="AF9" s="232">
        <f>GETPIVOTDATA("Sum of OLD-Tot UG SCH Calc",'Pivot Table for Fact Book'!$A$3,"State","GA","Type2","Technical")</f>
        <v>3258986.1999999997</v>
      </c>
      <c r="AG9" s="233">
        <f>GETPIVOTDATA("Sum of NEW-Tot UG SCH Calc",'Pivot Table for Fact Book'!$A$3,"State","GA","Type2","Technical")</f>
        <v>3922831.1999999997</v>
      </c>
      <c r="AH9" s="27"/>
    </row>
    <row r="10" spans="1:34">
      <c r="A10" s="226" t="s">
        <v>658</v>
      </c>
      <c r="B10" s="227">
        <f>GETPIVOTDATA("Sum of OLD-Tot UG SCH Calc",'Pivot Table for Fact Book'!$A$3,"State","KY","type",1,"Type2","Four-Year")</f>
        <v>902564</v>
      </c>
      <c r="C10" s="228">
        <f>GETPIVOTDATA("Sum of NEW-Tot UG SCH Calc",'Pivot Table for Fact Book'!$A$3,"State","KY","type",1,"Type2","Four-Year")</f>
        <v>910882</v>
      </c>
      <c r="D10" s="227">
        <f>GETPIVOTDATA("Sum of OLD-Tot UG SCH Calc",'Pivot Table for Fact Book'!$A$3,"State","KY","type",2,"Type2","Four-Year")</f>
        <v>0</v>
      </c>
      <c r="E10" s="228">
        <f>GETPIVOTDATA("Sum of NEW-Tot UG SCH Calc",'Pivot Table for Fact Book'!$A$3,"State","KY","type",2,"Type2","Four-Year")</f>
        <v>0</v>
      </c>
      <c r="F10" s="227">
        <f>GETPIVOTDATA("Sum of OLD-Tot UG SCH Calc",'Pivot Table for Fact Book'!$A$3,"State","KY","type",3,"Type2","Four-Year")</f>
        <v>1030576</v>
      </c>
      <c r="G10" s="228">
        <f>GETPIVOTDATA("Sum of NEW-Tot UG SCH Calc",'Pivot Table for Fact Book'!$A$3,"State","KY","type",3,"Type2","Four-Year")</f>
        <v>1047462</v>
      </c>
      <c r="H10" s="227">
        <f>GETPIVOTDATA("Sum of OLD-Tot UG SCH Calc",'Pivot Table for Fact Book'!$A$3,"State","KY","type",4,"Type2","Four-Year")</f>
        <v>511452</v>
      </c>
      <c r="I10" s="228">
        <f>GETPIVOTDATA("Sum of NEW-Tot UG SCH Calc",'Pivot Table for Fact Book'!$A$3,"State","KY","type",4,"Type2","Four-Year")</f>
        <v>515610</v>
      </c>
      <c r="J10" s="227">
        <f>GETPIVOTDATA("Sum of OLD-Tot UG SCH Calc",'Pivot Table for Fact Book'!$A$3,"State","KY","type",5,"Type2","Four-Year")</f>
        <v>62327</v>
      </c>
      <c r="K10" s="228">
        <f>GETPIVOTDATA("Sum of NEW-Tot UG SCH Calc",'Pivot Table for Fact Book'!$A$3,"State","KY","type",5,"Type2","Four-Year")</f>
        <v>63153</v>
      </c>
      <c r="L10" s="227">
        <f>GETPIVOTDATA("Sum of OLD-Tot UG SCH Calc",'Pivot Table for Fact Book'!$A$3,"State","KY","type",6,"Type2","Four-Year")</f>
        <v>0</v>
      </c>
      <c r="M10" s="228">
        <f>GETPIVOTDATA("Sum of NEW-Tot UG SCH Calc",'Pivot Table for Fact Book'!$A$3,"State","KY","type",6,"Type2","Four-Year")</f>
        <v>0</v>
      </c>
      <c r="N10" s="227">
        <f>GETPIVOTDATA("Sum of OLD-Tot UG SCH Calc",'Pivot Table for Fact Book'!$A$3,"State","KY","type",15,"Type2","Four-Year")</f>
        <v>0</v>
      </c>
      <c r="O10" s="228">
        <f>GETPIVOTDATA("Sum of NEW-Tot UG SCH Calc",'Pivot Table for Fact Book'!$A$3,"State","KY","type",15,"Type2","Four-Year")</f>
        <v>0</v>
      </c>
      <c r="P10" s="229">
        <f>GETPIVOTDATA("Sum of OLD-Tot UG SCH Calc",'Pivot Table for Fact Book'!$A$3,"State","KY","Type2","Four-Year")</f>
        <v>2506919</v>
      </c>
      <c r="Q10" s="229">
        <f>GETPIVOTDATA("Sum of NEW-Tot UG SCH Calc",'Pivot Table for Fact Book'!$A$3,"State","KY","Type2","Four-Year")</f>
        <v>2537107</v>
      </c>
      <c r="R10" s="227">
        <f>GETPIVOTDATA("Sum of OLD-Tot UG SCH Calc",'Pivot Table for Fact Book'!$A$3,"State","KY","type",7,"Type2","Two-Year")</f>
        <v>0</v>
      </c>
      <c r="S10" s="230">
        <f>GETPIVOTDATA("Sum of NEW-Tot UG SCH Calc",'Pivot Table for Fact Book'!$A$3,"State","KY","type",7,"Type2","Two-Year")</f>
        <v>0</v>
      </c>
      <c r="T10" s="230">
        <f>GETPIVOTDATA("Sum of OLD-Tot UG SCH Calc",'Pivot Table for Fact Book'!$A$3,"State","KY","type",8,"Type2","Two-Year")</f>
        <v>474840</v>
      </c>
      <c r="U10" s="230">
        <f>GETPIVOTDATA("Sum of NEW-Tot UG SCH Calc",'Pivot Table for Fact Book'!$A$3,"State","KY","type",8,"Type2","Two-Year")</f>
        <v>508819</v>
      </c>
      <c r="V10" s="230">
        <f>GETPIVOTDATA("Sum of OLD-Tot UG SCH Calc",'Pivot Table for Fact Book'!$A$3,"State","KY","type",9,"Type2","Two-Year")</f>
        <v>721574</v>
      </c>
      <c r="W10" s="230">
        <f>GETPIVOTDATA("Sum of NEW-Tot UG SCH Calc",'Pivot Table for Fact Book'!$A$3,"State","KY","type",9,"Type2","Two-Year")</f>
        <v>815270</v>
      </c>
      <c r="X10" s="230">
        <f>GETPIVOTDATA("Sum of OLD-Tot UG SCH Calc",'Pivot Table for Fact Book'!$A$3,"State","KY","type",10,"Type2","Two-Year")</f>
        <v>148500</v>
      </c>
      <c r="Y10" s="230">
        <f>GETPIVOTDATA("Sum of NEW-Tot UG SCH Calc",'Pivot Table for Fact Book'!$A$3,"State","KY","type",10,"Type2","Two-Year")</f>
        <v>167664</v>
      </c>
      <c r="Z10" s="231">
        <f>GETPIVOTDATA("Sum of OLD-Tot UG SCH Calc",'Pivot Table for Fact Book'!$A$3,"State","KY","Type2","Two-Year")</f>
        <v>1344914</v>
      </c>
      <c r="AA10" s="231">
        <f>GETPIVOTDATA("Sum of NEW-Tot UG SCH Calc",'Pivot Table for Fact Book'!$A$3,"State","KY","Type2","Two-Year")</f>
        <v>1491753</v>
      </c>
      <c r="AB10" s="227">
        <f>GETPIVOTDATA("Sum of OLD-Tot UG SCH Calc",'Pivot Table for Fact Book'!$A$3,"State","KY","type",12,"Type2","Technical")</f>
        <v>87861</v>
      </c>
      <c r="AC10" s="230">
        <f>GETPIVOTDATA("Sum of NEW-Tot UG SCH Calc",'Pivot Table for Fact Book'!$A$3,"State","KY","type",12,"Type2","Technical")</f>
        <v>110495</v>
      </c>
      <c r="AD10" s="227">
        <f>GETPIVOTDATA("Sum of OLD-Tot UG SCH Calc",'Pivot Table for Fact Book'!$A$3,"State","KY","type",13,"Type2","Technical")</f>
        <v>0</v>
      </c>
      <c r="AE10" s="230">
        <f>GETPIVOTDATA("Sum of NEW-Tot UG SCH Calc",'Pivot Table for Fact Book'!$A$3,"State","KY","type",13,"Type2","Technical")</f>
        <v>0</v>
      </c>
      <c r="AF10" s="232">
        <f>GETPIVOTDATA("Sum of OLD-Tot UG SCH Calc",'Pivot Table for Fact Book'!$A$3,"State","KY","Type2","Technical")</f>
        <v>87861</v>
      </c>
      <c r="AG10" s="233">
        <f>GETPIVOTDATA("Sum of NEW-Tot UG SCH Calc",'Pivot Table for Fact Book'!$A$3,"State","KY","Type2","Technical")</f>
        <v>110495</v>
      </c>
      <c r="AH10" s="27"/>
    </row>
    <row r="11" spans="1:34">
      <c r="A11" s="226" t="s">
        <v>659</v>
      </c>
      <c r="B11" s="227">
        <f>GETPIVOTDATA("Sum of OLD-Tot UG SCH Calc",'Pivot Table for Fact Book'!$A$3,"State","LA","type",1,"Type2","Four-Year")</f>
        <v>0</v>
      </c>
      <c r="C11" s="228">
        <f>GETPIVOTDATA("Sum of NEW-Tot UG SCH Calc",'Pivot Table for Fact Book'!$A$3,"State","LA","type",1,"Type2","Four-Year")</f>
        <v>0</v>
      </c>
      <c r="D11" s="227">
        <f>GETPIVOTDATA("Sum of OLD-Tot UG SCH Calc",'Pivot Table for Fact Book'!$A$3,"State","LA","type",2,"Type2","Four-Year")</f>
        <v>0</v>
      </c>
      <c r="E11" s="228">
        <f>GETPIVOTDATA("Sum of NEW-Tot UG SCH Calc",'Pivot Table for Fact Book'!$A$3,"State","LA","type",2,"Type2","Four-Year")</f>
        <v>0</v>
      </c>
      <c r="F11" s="227">
        <f>GETPIVOTDATA("Sum of OLD-Tot UG SCH Calc",'Pivot Table for Fact Book'!$A$3,"State","LA","type",3,"Type2","Four-Year")</f>
        <v>0</v>
      </c>
      <c r="G11" s="228">
        <f>GETPIVOTDATA("Sum of NEW-Tot UG SCH Calc",'Pivot Table for Fact Book'!$A$3,"State","LA","type",3,"Type2","Four-Year")</f>
        <v>0</v>
      </c>
      <c r="H11" s="227">
        <f>GETPIVOTDATA("Sum of OLD-Tot UG SCH Calc",'Pivot Table for Fact Book'!$A$3,"State","LA","type",4,"Type2","Four-Year")</f>
        <v>0</v>
      </c>
      <c r="I11" s="228">
        <f>GETPIVOTDATA("Sum of NEW-Tot UG SCH Calc",'Pivot Table for Fact Book'!$A$3,"State","LA","type",4,"Type2","Four-Year")</f>
        <v>0</v>
      </c>
      <c r="J11" s="227">
        <f>GETPIVOTDATA("Sum of OLD-Tot UG SCH Calc",'Pivot Table for Fact Book'!$A$3,"State","LA","type",5,"Type2","Four-Year")</f>
        <v>0</v>
      </c>
      <c r="K11" s="228">
        <f>GETPIVOTDATA("Sum of NEW-Tot UG SCH Calc",'Pivot Table for Fact Book'!$A$3,"State","LA","type",5,"Type2","Four-Year")</f>
        <v>0</v>
      </c>
      <c r="L11" s="227">
        <f>GETPIVOTDATA("Sum of OLD-Tot UG SCH Calc",'Pivot Table for Fact Book'!$A$3,"State","LA","type",6,"Type2","Four-Year")</f>
        <v>0</v>
      </c>
      <c r="M11" s="228">
        <f>GETPIVOTDATA("Sum of NEW-Tot UG SCH Calc",'Pivot Table for Fact Book'!$A$3,"State","LA","type",6,"Type2","Four-Year")</f>
        <v>0</v>
      </c>
      <c r="N11" s="227">
        <f>GETPIVOTDATA("Sum of OLD-Tot UG SCH Calc",'Pivot Table for Fact Book'!$A$3,"State","LA","type",15,"Type2","Four-Year")</f>
        <v>0</v>
      </c>
      <c r="O11" s="228">
        <f>GETPIVOTDATA("Sum of NEW-Tot UG SCH Calc",'Pivot Table for Fact Book'!$A$3,"State","LA","type",15,"Type2","Four-Year")</f>
        <v>0</v>
      </c>
      <c r="P11" s="229">
        <f>GETPIVOTDATA("Sum of OLD-Tot UG SCH Calc",'Pivot Table for Fact Book'!$A$3,"State","LA","Type2","Four-Year")</f>
        <v>0</v>
      </c>
      <c r="Q11" s="229">
        <f>GETPIVOTDATA("Sum of NEW-Tot UG SCH Calc",'Pivot Table for Fact Book'!$A$3,"State","LA","Type2","Four-Year")</f>
        <v>0</v>
      </c>
      <c r="R11" s="227">
        <f>GETPIVOTDATA("Sum of OLD-Tot UG SCH Calc",'Pivot Table for Fact Book'!$A$3,"State","LA","type",7,"Type2","Two-Year")</f>
        <v>0</v>
      </c>
      <c r="S11" s="230">
        <f>GETPIVOTDATA("Sum of NEW-Tot UG SCH Calc",'Pivot Table for Fact Book'!$A$3,"State","LA","type",7,"Type2","Two-Year")</f>
        <v>0</v>
      </c>
      <c r="T11" s="230">
        <f>GETPIVOTDATA("Sum of OLD-Tot UG SCH Calc",'Pivot Table for Fact Book'!$A$3,"State","LA","type",8,"Type2","Two-Year")</f>
        <v>0</v>
      </c>
      <c r="U11" s="230">
        <f>GETPIVOTDATA("Sum of NEW-Tot UG SCH Calc",'Pivot Table for Fact Book'!$A$3,"State","LA","type",8,"Type2","Two-Year")</f>
        <v>0</v>
      </c>
      <c r="V11" s="230">
        <f>GETPIVOTDATA("Sum of OLD-Tot UG SCH Calc",'Pivot Table for Fact Book'!$A$3,"State","LA","type",9,"Type2","Two-Year")</f>
        <v>0</v>
      </c>
      <c r="W11" s="230">
        <f>GETPIVOTDATA("Sum of NEW-Tot UG SCH Calc",'Pivot Table for Fact Book'!$A$3,"State","LA","type",9,"Type2","Two-Year")</f>
        <v>0</v>
      </c>
      <c r="X11" s="230">
        <f>GETPIVOTDATA("Sum of OLD-Tot UG SCH Calc",'Pivot Table for Fact Book'!$A$3,"State","LA","type",10,"Type2","Two-Year")</f>
        <v>0</v>
      </c>
      <c r="Y11" s="230">
        <f>GETPIVOTDATA("Sum of NEW-Tot UG SCH Calc",'Pivot Table for Fact Book'!$A$3,"State","LA","type",10,"Type2","Two-Year")</f>
        <v>0</v>
      </c>
      <c r="Z11" s="231">
        <f>GETPIVOTDATA("Sum of OLD-Tot UG SCH Calc",'Pivot Table for Fact Book'!$A$3,"State","LA","Type2","Two-Year")</f>
        <v>0</v>
      </c>
      <c r="AA11" s="231">
        <f>GETPIVOTDATA("Sum of NEW-Tot UG SCH Calc",'Pivot Table for Fact Book'!$A$3,"State","LA","Type2","Two-Year")</f>
        <v>0</v>
      </c>
      <c r="AB11" s="227">
        <f>GETPIVOTDATA("Sum of OLD-Tot UG SCH Calc",'Pivot Table for Fact Book'!$A$3,"State","LA","type",12,"Type2","Technical")</f>
        <v>0</v>
      </c>
      <c r="AC11" s="230">
        <f>GETPIVOTDATA("Sum of NEW-Tot UG SCH Calc",'Pivot Table for Fact Book'!$A$3,"State","LA","type",12,"Type2","Technical")</f>
        <v>0</v>
      </c>
      <c r="AD11" s="227">
        <f>GETPIVOTDATA("Sum of OLD-Tot UG SCH Calc",'Pivot Table for Fact Book'!$A$3,"State","LA","type",13,"Type2","Technical")</f>
        <v>0</v>
      </c>
      <c r="AE11" s="230">
        <f>GETPIVOTDATA("Sum of NEW-Tot UG SCH Calc",'Pivot Table for Fact Book'!$A$3,"State","LA","type",13,"Type2","Technical")</f>
        <v>0</v>
      </c>
      <c r="AF11" s="232">
        <f>GETPIVOTDATA("Sum of OLD-Tot UG SCH Calc",'Pivot Table for Fact Book'!$A$3,"State","LA","Type2","Technical")</f>
        <v>0</v>
      </c>
      <c r="AG11" s="233">
        <f>GETPIVOTDATA("Sum of NEW-Tot UG SCH Calc",'Pivot Table for Fact Book'!$A$3,"State","LA","Type2","Technical")</f>
        <v>0</v>
      </c>
      <c r="AH11" s="27"/>
    </row>
    <row r="12" spans="1:34">
      <c r="A12" s="226" t="s">
        <v>700</v>
      </c>
      <c r="B12" s="227">
        <f>GETPIVOTDATA("Sum of OLD-Tot UG SCH Calc",'Pivot Table for Fact Book'!$A$3,"State","MD","type",1,"Type2","Four-Year")</f>
        <v>779086.5</v>
      </c>
      <c r="C12" s="228">
        <f>GETPIVOTDATA("Sum of NEW-Tot UG SCH Calc",'Pivot Table for Fact Book'!$A$3,"State","MD","type",1,"Type2","Four-Year")</f>
        <v>791533.5</v>
      </c>
      <c r="D12" s="227">
        <f>GETPIVOTDATA("Sum of OLD-Tot UG SCH Calc",'Pivot Table for Fact Book'!$A$3,"State","MD","type",2,"Type2","Four-Year")</f>
        <v>252345</v>
      </c>
      <c r="E12" s="228">
        <f>GETPIVOTDATA("Sum of NEW-Tot UG SCH Calc",'Pivot Table for Fact Book'!$A$3,"State","MD","type",2,"Type2","Four-Year")</f>
        <v>269872</v>
      </c>
      <c r="F12" s="227">
        <f>GETPIVOTDATA("Sum of OLD-Tot UG SCH Calc",'Pivot Table for Fact Book'!$A$3,"State","MD","type",3,"Type2","Four-Year")</f>
        <v>639792.5</v>
      </c>
      <c r="G12" s="228">
        <f>GETPIVOTDATA("Sum of NEW-Tot UG SCH Calc",'Pivot Table for Fact Book'!$A$3,"State","MD","type",3,"Type2","Four-Year")</f>
        <v>665534.5</v>
      </c>
      <c r="H12" s="227">
        <f>GETPIVOTDATA("Sum of OLD-Tot UG SCH Calc",'Pivot Table for Fact Book'!$A$3,"State","MD","type",4,"Type2","Four-Year")</f>
        <v>705081</v>
      </c>
      <c r="I12" s="228">
        <f>GETPIVOTDATA("Sum of NEW-Tot UG SCH Calc",'Pivot Table for Fact Book'!$A$3,"State","MD","type",4,"Type2","Four-Year")</f>
        <v>736972</v>
      </c>
      <c r="J12" s="227">
        <f>GETPIVOTDATA("Sum of OLD-Tot UG SCH Calc",'Pivot Table for Fact Book'!$A$3,"State","MD","type",5,"Type2","Four-Year")</f>
        <v>0</v>
      </c>
      <c r="K12" s="228">
        <f>GETPIVOTDATA("Sum of NEW-Tot UG SCH Calc",'Pivot Table for Fact Book'!$A$3,"State","MD","type",5,"Type2","Four-Year")</f>
        <v>0</v>
      </c>
      <c r="L12" s="227">
        <f>GETPIVOTDATA("Sum of OLD-Tot UG SCH Calc",'Pivot Table for Fact Book'!$A$3,"State","MD","type",6,"Type2","Four-Year")</f>
        <v>61934</v>
      </c>
      <c r="M12" s="228">
        <f>GETPIVOTDATA("Sum of NEW-Tot UG SCH Calc",'Pivot Table for Fact Book'!$A$3,"State","MD","type",6,"Type2","Four-Year")</f>
        <v>61956</v>
      </c>
      <c r="N12" s="227">
        <f>GETPIVOTDATA("Sum of OLD-Tot UG SCH Calc",'Pivot Table for Fact Book'!$A$3,"State","MD","type",15,"Type2","Four-Year")</f>
        <v>351195</v>
      </c>
      <c r="O12" s="228">
        <f>GETPIVOTDATA("Sum of NEW-Tot UG SCH Calc",'Pivot Table for Fact Book'!$A$3,"State","MD","type",15,"Type2","Four-Year")</f>
        <v>384318</v>
      </c>
      <c r="P12" s="229">
        <f>GETPIVOTDATA("Sum of OLD-Tot UG SCH Calc",'Pivot Table for Fact Book'!$A$3,"State","MD","Type2","Four-Year")</f>
        <v>2789434</v>
      </c>
      <c r="Q12" s="229">
        <f>GETPIVOTDATA("Sum of NEW-Tot UG SCH Calc",'Pivot Table for Fact Book'!$A$3,"State","MD","Type2","Four-Year")</f>
        <v>2910186</v>
      </c>
      <c r="R12" s="227">
        <f>GETPIVOTDATA("Sum of OLD-Tot UG SCH Calc",'Pivot Table for Fact Book'!$A$3,"State","MD","type",7,"Type2","Two-Year")</f>
        <v>0</v>
      </c>
      <c r="S12" s="230">
        <f>GETPIVOTDATA("Sum of NEW-Tot UG SCH Calc",'Pivot Table for Fact Book'!$A$3,"State","MD","type",7,"Type2","Two-Year")</f>
        <v>0</v>
      </c>
      <c r="T12" s="230">
        <f>GETPIVOTDATA("Sum of OLD-Tot UG SCH Calc",'Pivot Table for Fact Book'!$A$3,"State","MD","type",8,"Type2","Two-Year")</f>
        <v>1428000.19</v>
      </c>
      <c r="U12" s="230">
        <f>GETPIVOTDATA("Sum of NEW-Tot UG SCH Calc",'Pivot Table for Fact Book'!$A$3,"State","MD","type",8,"Type2","Two-Year")</f>
        <v>1595740</v>
      </c>
      <c r="V12" s="230">
        <f>GETPIVOTDATA("Sum of OLD-Tot UG SCH Calc",'Pivot Table for Fact Book'!$A$3,"State","MD","type",9,"Type2","Two-Year")</f>
        <v>874478</v>
      </c>
      <c r="W12" s="230">
        <f>GETPIVOTDATA("Sum of NEW-Tot UG SCH Calc",'Pivot Table for Fact Book'!$A$3,"State","MD","type",9,"Type2","Two-Year")</f>
        <v>821397</v>
      </c>
      <c r="X12" s="230">
        <f>GETPIVOTDATA("Sum of OLD-Tot UG SCH Calc",'Pivot Table for Fact Book'!$A$3,"State","MD","type",10,"Type2","Two-Year")</f>
        <v>233257</v>
      </c>
      <c r="Y12" s="230">
        <f>GETPIVOTDATA("Sum of NEW-Tot UG SCH Calc",'Pivot Table for Fact Book'!$A$3,"State","MD","type",10,"Type2","Two-Year")</f>
        <v>253167.05</v>
      </c>
      <c r="Z12" s="231">
        <f>GETPIVOTDATA("Sum of OLD-Tot UG SCH Calc",'Pivot Table for Fact Book'!$A$3,"State","MD","Type2","Two-Year")</f>
        <v>2535735.19</v>
      </c>
      <c r="AA12" s="231">
        <f>GETPIVOTDATA("Sum of NEW-Tot UG SCH Calc",'Pivot Table for Fact Book'!$A$3,"State","MD","Type2","Two-Year")</f>
        <v>2670304.0499999998</v>
      </c>
      <c r="AB12" s="227">
        <f>GETPIVOTDATA("Sum of OLD-Tot UG SCH Calc",'Pivot Table for Fact Book'!$A$3,"State","MD","type",12,"Type2","Technical")</f>
        <v>0</v>
      </c>
      <c r="AC12" s="230">
        <f>GETPIVOTDATA("Sum of NEW-Tot UG SCH Calc",'Pivot Table for Fact Book'!$A$3,"State","MD","type",12,"Type2","Technical")</f>
        <v>0</v>
      </c>
      <c r="AD12" s="227">
        <f>GETPIVOTDATA("Sum of OLD-Tot UG SCH Calc",'Pivot Table for Fact Book'!$A$3,"State","MD","type",13,"Type2","Technical")</f>
        <v>0</v>
      </c>
      <c r="AE12" s="230">
        <f>GETPIVOTDATA("Sum of NEW-Tot UG SCH Calc",'Pivot Table for Fact Book'!$A$3,"State","MD","type",13,"Type2","Technical")</f>
        <v>0</v>
      </c>
      <c r="AF12" s="232">
        <f>GETPIVOTDATA("Sum of OLD-Tot UG SCH Calc",'Pivot Table for Fact Book'!$A$3,"State","MD","Type2","Technical")</f>
        <v>0</v>
      </c>
      <c r="AG12" s="233">
        <f>GETPIVOTDATA("Sum of NEW-Tot UG SCH Calc",'Pivot Table for Fact Book'!$A$3,"State","MD","Type2","Technical")</f>
        <v>0</v>
      </c>
      <c r="AH12" s="27"/>
    </row>
    <row r="13" spans="1:34">
      <c r="A13" s="226" t="s">
        <v>661</v>
      </c>
      <c r="B13" s="227">
        <f>GETPIVOTDATA("Sum of OLD-Tot UG SCH Calc",'Pivot Table for Fact Book'!$A$3,"State","MS","type",1,"Type2","Four-Year")</f>
        <v>696195</v>
      </c>
      <c r="C13" s="228">
        <f>GETPIVOTDATA("Sum of NEW-Tot UG SCH Calc",'Pivot Table for Fact Book'!$A$3,"State","MS","type",1,"Type2","Four-Year")</f>
        <v>740711</v>
      </c>
      <c r="D13" s="227">
        <f>GETPIVOTDATA("Sum of OLD-Tot UG SCH Calc",'Pivot Table for Fact Book'!$A$3,"State","MS","type",2,"Type2","Four-Year")</f>
        <v>525101</v>
      </c>
      <c r="E13" s="228">
        <f>GETPIVOTDATA("Sum of NEW-Tot UG SCH Calc",'Pivot Table for Fact Book'!$A$3,"State","MS","type",2,"Type2","Four-Year")</f>
        <v>533640</v>
      </c>
      <c r="F13" s="227">
        <f>GETPIVOTDATA("Sum of OLD-Tot UG SCH Calc",'Pivot Table for Fact Book'!$A$3,"State","MS","type",3,"Type2","Four-Year")</f>
        <v>0</v>
      </c>
      <c r="G13" s="228">
        <f>GETPIVOTDATA("Sum of NEW-Tot UG SCH Calc",'Pivot Table for Fact Book'!$A$3,"State","MS","type",3,"Type2","Four-Year")</f>
        <v>0</v>
      </c>
      <c r="H13" s="227">
        <f>GETPIVOTDATA("Sum of OLD-Tot UG SCH Calc",'Pivot Table for Fact Book'!$A$3,"State","MS","type",4,"Type2","Four-Year")</f>
        <v>230171</v>
      </c>
      <c r="I13" s="228">
        <f>GETPIVOTDATA("Sum of NEW-Tot UG SCH Calc",'Pivot Table for Fact Book'!$A$3,"State","MS","type",4,"Type2","Four-Year")</f>
        <v>225683</v>
      </c>
      <c r="J13" s="227">
        <f>GETPIVOTDATA("Sum of OLD-Tot UG SCH Calc",'Pivot Table for Fact Book'!$A$3,"State","MS","type",5,"Type2","Four-Year")</f>
        <v>55506</v>
      </c>
      <c r="K13" s="228">
        <f>GETPIVOTDATA("Sum of NEW-Tot UG SCH Calc",'Pivot Table for Fact Book'!$A$3,"State","MS","type",5,"Type2","Four-Year")</f>
        <v>57804</v>
      </c>
      <c r="L13" s="227">
        <f>GETPIVOTDATA("Sum of OLD-Tot UG SCH Calc",'Pivot Table for Fact Book'!$A$3,"State","MS","type",6,"Type2","Four-Year")</f>
        <v>0</v>
      </c>
      <c r="M13" s="228">
        <f>GETPIVOTDATA("Sum of NEW-Tot UG SCH Calc",'Pivot Table for Fact Book'!$A$3,"State","MS","type",6,"Type2","Four-Year")</f>
        <v>0</v>
      </c>
      <c r="N13" s="227">
        <f>GETPIVOTDATA("Sum of OLD-Tot UG SCH Calc",'Pivot Table for Fact Book'!$A$3,"State","MS","type",15,"Type2","Four-Year")</f>
        <v>0</v>
      </c>
      <c r="O13" s="228">
        <f>GETPIVOTDATA("Sum of NEW-Tot UG SCH Calc",'Pivot Table for Fact Book'!$A$3,"State","MS","type",15,"Type2","Four-Year")</f>
        <v>0</v>
      </c>
      <c r="P13" s="229">
        <f>GETPIVOTDATA("Sum of OLD-Tot UG SCH Calc",'Pivot Table for Fact Book'!$A$3,"State","MS","Type2","Four-Year")</f>
        <v>1506973</v>
      </c>
      <c r="Q13" s="229">
        <f>GETPIVOTDATA("Sum of NEW-Tot UG SCH Calc",'Pivot Table for Fact Book'!$A$3,"State","MS","Type2","Four-Year")</f>
        <v>1557838</v>
      </c>
      <c r="R13" s="227">
        <f>GETPIVOTDATA("Sum of OLD-Tot UG SCH Calc",'Pivot Table for Fact Book'!$A$3,"State","MS","type",7,"Type2","Two-Year")</f>
        <v>0</v>
      </c>
      <c r="S13" s="230">
        <f>GETPIVOTDATA("Sum of NEW-Tot UG SCH Calc",'Pivot Table for Fact Book'!$A$3,"State","MS","type",7,"Type2","Two-Year")</f>
        <v>0</v>
      </c>
      <c r="T13" s="230">
        <f>GETPIVOTDATA("Sum of OLD-Tot UG SCH Calc",'Pivot Table for Fact Book'!$A$3,"State","MS","type",8,"Type2","Two-Year")</f>
        <v>640284</v>
      </c>
      <c r="U13" s="230">
        <f>GETPIVOTDATA("Sum of NEW-Tot UG SCH Calc",'Pivot Table for Fact Book'!$A$3,"State","MS","type",8,"Type2","Two-Year")</f>
        <v>712517</v>
      </c>
      <c r="V13" s="230">
        <f>GETPIVOTDATA("Sum of OLD-Tot UG SCH Calc",'Pivot Table for Fact Book'!$A$3,"State","MS","type",9,"Type2","Two-Year")</f>
        <v>1024168</v>
      </c>
      <c r="W13" s="230">
        <f>GETPIVOTDATA("Sum of NEW-Tot UG SCH Calc",'Pivot Table for Fact Book'!$A$3,"State","MS","type",9,"Type2","Two-Year")</f>
        <v>1131458</v>
      </c>
      <c r="X13" s="230">
        <f>GETPIVOTDATA("Sum of OLD-Tot UG SCH Calc",'Pivot Table for Fact Book'!$A$3,"State","MS","type",10,"Type2","Two-Year")</f>
        <v>93298</v>
      </c>
      <c r="Y13" s="230">
        <f>GETPIVOTDATA("Sum of NEW-Tot UG SCH Calc",'Pivot Table for Fact Book'!$A$3,"State","MS","type",10,"Type2","Two-Year")</f>
        <v>108080</v>
      </c>
      <c r="Z13" s="231">
        <f>GETPIVOTDATA("Sum of OLD-Tot UG SCH Calc",'Pivot Table for Fact Book'!$A$3,"State","MS","Type2","Two-Year")</f>
        <v>1757750</v>
      </c>
      <c r="AA13" s="231">
        <f>GETPIVOTDATA("Sum of NEW-Tot UG SCH Calc",'Pivot Table for Fact Book'!$A$3,"State","MS","Type2","Two-Year")</f>
        <v>1952055</v>
      </c>
      <c r="AB13" s="227">
        <f>GETPIVOTDATA("Sum of OLD-Tot UG SCH Calc",'Pivot Table for Fact Book'!$A$3,"State","MS","type",12,"Type2","Technical")</f>
        <v>0</v>
      </c>
      <c r="AC13" s="230">
        <f>GETPIVOTDATA("Sum of NEW-Tot UG SCH Calc",'Pivot Table for Fact Book'!$A$3,"State","MS","type",12,"Type2","Technical")</f>
        <v>0</v>
      </c>
      <c r="AD13" s="227">
        <f>GETPIVOTDATA("Sum of OLD-Tot UG SCH Calc",'Pivot Table for Fact Book'!$A$3,"State","MS","type",13,"Type2","Technical")</f>
        <v>0</v>
      </c>
      <c r="AE13" s="230">
        <f>GETPIVOTDATA("Sum of NEW-Tot UG SCH Calc",'Pivot Table for Fact Book'!$A$3,"State","MS","type",13,"Type2","Technical")</f>
        <v>0</v>
      </c>
      <c r="AF13" s="232">
        <f>GETPIVOTDATA("Sum of OLD-Tot UG SCH Calc",'Pivot Table for Fact Book'!$A$3,"State","MS","Type2","Technical")</f>
        <v>0</v>
      </c>
      <c r="AG13" s="233">
        <f>GETPIVOTDATA("Sum of NEW-Tot UG SCH Calc",'Pivot Table for Fact Book'!$A$3,"State","MS","Type2","Technical")</f>
        <v>0</v>
      </c>
      <c r="AH13" s="27"/>
    </row>
    <row r="14" spans="1:34">
      <c r="A14" s="226" t="s">
        <v>662</v>
      </c>
      <c r="B14" s="227">
        <f>GETPIVOTDATA("Sum of OLD-Tot UG SCH Calc",'Pivot Table for Fact Book'!$A$3,"State","NC","type",1,"Type2","Four-Year")</f>
        <v>1191348</v>
      </c>
      <c r="C14" s="228">
        <f>GETPIVOTDATA("Sum of NEW-Tot UG SCH Calc",'Pivot Table for Fact Book'!$A$3,"State","NC","type",1,"Type2","Four-Year")</f>
        <v>1225712</v>
      </c>
      <c r="D14" s="227">
        <f>GETPIVOTDATA("Sum of OLD-Tot UG SCH Calc",'Pivot Table for Fact Book'!$A$3,"State","NC","type",2,"Type2","Four-Year")</f>
        <v>891523</v>
      </c>
      <c r="E14" s="228">
        <f>GETPIVOTDATA("Sum of NEW-Tot UG SCH Calc",'Pivot Table for Fact Book'!$A$3,"State","NC","type",2,"Type2","Four-Year")</f>
        <v>938293</v>
      </c>
      <c r="F14" s="227">
        <f>GETPIVOTDATA("Sum of OLD-Tot UG SCH Calc",'Pivot Table for Fact Book'!$A$3,"State","NC","type",3,"Type2","Four-Year")</f>
        <v>1967477</v>
      </c>
      <c r="G14" s="228">
        <f>GETPIVOTDATA("Sum of NEW-Tot UG SCH Calc",'Pivot Table for Fact Book'!$A$3,"State","NC","type",3,"Type2","Four-Year")</f>
        <v>2010485</v>
      </c>
      <c r="H14" s="227">
        <f>GETPIVOTDATA("Sum of OLD-Tot UG SCH Calc",'Pivot Table for Fact Book'!$A$3,"State","NC","type",4,"Type2","Four-Year")</f>
        <v>167410</v>
      </c>
      <c r="I14" s="228">
        <f>GETPIVOTDATA("Sum of NEW-Tot UG SCH Calc",'Pivot Table for Fact Book'!$A$3,"State","NC","type",4,"Type2","Four-Year")</f>
        <v>155114</v>
      </c>
      <c r="J14" s="227">
        <f>GETPIVOTDATA("Sum of OLD-Tot UG SCH Calc",'Pivot Table for Fact Book'!$A$3,"State","NC","type",5,"Type2","Four-Year")</f>
        <v>314725</v>
      </c>
      <c r="K14" s="228">
        <f>GETPIVOTDATA("Sum of NEW-Tot UG SCH Calc",'Pivot Table for Fact Book'!$A$3,"State","NC","type",5,"Type2","Four-Year")</f>
        <v>334724</v>
      </c>
      <c r="L14" s="227">
        <f>GETPIVOTDATA("Sum of OLD-Tot UG SCH Calc",'Pivot Table for Fact Book'!$A$3,"State","NC","type",6,"Type2","Four-Year")</f>
        <v>182142</v>
      </c>
      <c r="M14" s="228">
        <f>GETPIVOTDATA("Sum of NEW-Tot UG SCH Calc",'Pivot Table for Fact Book'!$A$3,"State","NC","type",6,"Type2","Four-Year")</f>
        <v>193937</v>
      </c>
      <c r="N14" s="227">
        <f>GETPIVOTDATA("Sum of OLD-Tot UG SCH Calc",'Pivot Table for Fact Book'!$A$3,"State","NC","type",15,"Type2","Four-Year")</f>
        <v>0</v>
      </c>
      <c r="O14" s="228">
        <f>GETPIVOTDATA("Sum of NEW-Tot UG SCH Calc",'Pivot Table for Fact Book'!$A$3,"State","NC","type",15,"Type2","Four-Year")</f>
        <v>0</v>
      </c>
      <c r="P14" s="229">
        <f>GETPIVOTDATA("Sum of OLD-Tot UG SCH Calc",'Pivot Table for Fact Book'!$A$3,"State","NC","Type2","Four-Year")</f>
        <v>4714625</v>
      </c>
      <c r="Q14" s="229">
        <f>GETPIVOTDATA("Sum of NEW-Tot UG SCH Calc",'Pivot Table for Fact Book'!$A$3,"State","NC","Type2","Four-Year")</f>
        <v>4858265</v>
      </c>
      <c r="R14" s="227">
        <f>GETPIVOTDATA("Sum of OLD-Tot UG SCH Calc",'Pivot Table for Fact Book'!$A$3,"State","NC","type",7,"Type2","Two-Year")</f>
        <v>0</v>
      </c>
      <c r="S14" s="230">
        <f>GETPIVOTDATA("Sum of NEW-Tot UG SCH Calc",'Pivot Table for Fact Book'!$A$3,"State","NC","type",7,"Type2","Two-Year")</f>
        <v>0</v>
      </c>
      <c r="T14" s="230">
        <f>GETPIVOTDATA("Sum of OLD-Tot UG SCH Calc",'Pivot Table for Fact Book'!$A$3,"State","NC","type",8,"Type2","Two-Year")</f>
        <v>3162660</v>
      </c>
      <c r="U14" s="230">
        <f>GETPIVOTDATA("Sum of NEW-Tot UG SCH Calc",'Pivot Table for Fact Book'!$A$3,"State","NC","type",8,"Type2","Two-Year")</f>
        <v>3530700</v>
      </c>
      <c r="V14" s="230">
        <f>GETPIVOTDATA("Sum of OLD-Tot UG SCH Calc",'Pivot Table for Fact Book'!$A$3,"State","NC","type",9,"Type2","Two-Year")</f>
        <v>3233940</v>
      </c>
      <c r="W14" s="230">
        <f>GETPIVOTDATA("Sum of NEW-Tot UG SCH Calc",'Pivot Table for Fact Book'!$A$3,"State","NC","type",9,"Type2","Two-Year")</f>
        <v>3639330</v>
      </c>
      <c r="X14" s="230">
        <f>GETPIVOTDATA("Sum of OLD-Tot UG SCH Calc",'Pivot Table for Fact Book'!$A$3,"State","NC","type",10,"Type2","Two-Year")</f>
        <v>555510</v>
      </c>
      <c r="Y14" s="230">
        <f>GETPIVOTDATA("Sum of NEW-Tot UG SCH Calc",'Pivot Table for Fact Book'!$A$3,"State","NC","type",10,"Type2","Two-Year")</f>
        <v>625980</v>
      </c>
      <c r="Z14" s="231">
        <f>GETPIVOTDATA("Sum of OLD-Tot UG SCH Calc",'Pivot Table for Fact Book'!$A$3,"State","NC","Type2","Two-Year")</f>
        <v>6952110</v>
      </c>
      <c r="AA14" s="231">
        <f>GETPIVOTDATA("Sum of NEW-Tot UG SCH Calc",'Pivot Table for Fact Book'!$A$3,"State","NC","Type2","Two-Year")</f>
        <v>7796010</v>
      </c>
      <c r="AB14" s="227">
        <f>GETPIVOTDATA("Sum of OLD-Tot UG SCH Calc",'Pivot Table for Fact Book'!$A$3,"State","NC","type",12,"Type2","Technical")</f>
        <v>0</v>
      </c>
      <c r="AC14" s="230">
        <f>GETPIVOTDATA("Sum of NEW-Tot UG SCH Calc",'Pivot Table for Fact Book'!$A$3,"State","NC","type",12,"Type2","Technical")</f>
        <v>0</v>
      </c>
      <c r="AD14" s="227">
        <f>GETPIVOTDATA("Sum of OLD-Tot UG SCH Calc",'Pivot Table for Fact Book'!$A$3,"State","NC","type",13,"Type2","Technical")</f>
        <v>0</v>
      </c>
      <c r="AE14" s="230">
        <f>GETPIVOTDATA("Sum of NEW-Tot UG SCH Calc",'Pivot Table for Fact Book'!$A$3,"State","NC","type",13,"Type2","Technical")</f>
        <v>0</v>
      </c>
      <c r="AF14" s="232">
        <f>GETPIVOTDATA("Sum of OLD-Tot UG SCH Calc",'Pivot Table for Fact Book'!$A$3,"State","NC","Type2","Technical")</f>
        <v>0</v>
      </c>
      <c r="AG14" s="233">
        <f>GETPIVOTDATA("Sum of NEW-Tot UG SCH Calc",'Pivot Table for Fact Book'!$A$3,"State","NC","Type2","Technical")</f>
        <v>0</v>
      </c>
      <c r="AH14" s="27"/>
    </row>
    <row r="15" spans="1:34">
      <c r="A15" s="226" t="s">
        <v>663</v>
      </c>
      <c r="B15" s="227">
        <f>GETPIVOTDATA("Sum of OLD-Tot UG SCH Calc",'Pivot Table for Fact Book'!$A$3,"State","OK","type",1,"Type2","Four-Year")</f>
        <v>1034006</v>
      </c>
      <c r="C15" s="228">
        <f>GETPIVOTDATA("Sum of NEW-Tot UG SCH Calc",'Pivot Table for Fact Book'!$A$3,"State","OK","type",1,"Type2","Four-Year")</f>
        <v>1038948</v>
      </c>
      <c r="D15" s="227">
        <f>GETPIVOTDATA("Sum of OLD-Tot UG SCH Calc",'Pivot Table for Fact Book'!$A$3,"State","OK","type",2,"Type2","Four-Year")</f>
        <v>0</v>
      </c>
      <c r="E15" s="228">
        <f>GETPIVOTDATA("Sum of NEW-Tot UG SCH Calc",'Pivot Table for Fact Book'!$A$3,"State","OK","type",2,"Type2","Four-Year")</f>
        <v>0</v>
      </c>
      <c r="F15" s="227">
        <f>GETPIVOTDATA("Sum of OLD-Tot UG SCH Calc",'Pivot Table for Fact Book'!$A$3,"State","OK","type",3,"Type2","Four-Year")</f>
        <v>511085</v>
      </c>
      <c r="G15" s="228">
        <f>GETPIVOTDATA("Sum of NEW-Tot UG SCH Calc",'Pivot Table for Fact Book'!$A$3,"State","OK","type",3,"Type2","Four-Year")</f>
        <v>541082</v>
      </c>
      <c r="H15" s="227">
        <f>GETPIVOTDATA("Sum of OLD-Tot UG SCH Calc",'Pivot Table for Fact Book'!$A$3,"State","OK","type",4,"Type2","Four-Year")</f>
        <v>0</v>
      </c>
      <c r="I15" s="228">
        <f>GETPIVOTDATA("Sum of NEW-Tot UG SCH Calc",'Pivot Table for Fact Book'!$A$3,"State","OK","type",4,"Type2","Four-Year")</f>
        <v>0</v>
      </c>
      <c r="J15" s="227">
        <f>GETPIVOTDATA("Sum of OLD-Tot UG SCH Calc",'Pivot Table for Fact Book'!$A$3,"State","OK","type",5,"Type2","Four-Year")</f>
        <v>528724</v>
      </c>
      <c r="K15" s="228">
        <f>GETPIVOTDATA("Sum of NEW-Tot UG SCH Calc",'Pivot Table for Fact Book'!$A$3,"State","OK","type",5,"Type2","Four-Year")</f>
        <v>543994</v>
      </c>
      <c r="L15" s="227">
        <f>GETPIVOTDATA("Sum of OLD-Tot UG SCH Calc",'Pivot Table for Fact Book'!$A$3,"State","OK","type",6,"Type2","Four-Year")</f>
        <v>149161</v>
      </c>
      <c r="M15" s="228">
        <f>GETPIVOTDATA("Sum of NEW-Tot UG SCH Calc",'Pivot Table for Fact Book'!$A$3,"State","OK","type",6,"Type2","Four-Year")</f>
        <v>154217</v>
      </c>
      <c r="N15" s="227">
        <f>GETPIVOTDATA("Sum of OLD-Tot UG SCH Calc",'Pivot Table for Fact Book'!$A$3,"State","OK","type",15,"Type2","Four-Year")</f>
        <v>0</v>
      </c>
      <c r="O15" s="228">
        <f>GETPIVOTDATA("Sum of NEW-Tot UG SCH Calc",'Pivot Table for Fact Book'!$A$3,"State","OK","type",15,"Type2","Four-Year")</f>
        <v>0</v>
      </c>
      <c r="P15" s="229">
        <f>GETPIVOTDATA("Sum of OLD-Tot UG SCH Calc",'Pivot Table for Fact Book'!$A$3,"State","OK","Type2","Four-Year")</f>
        <v>2222976</v>
      </c>
      <c r="Q15" s="229">
        <f>GETPIVOTDATA("Sum of NEW-Tot UG SCH Calc",'Pivot Table for Fact Book'!$A$3,"State","OK","Type2","Four-Year")</f>
        <v>2278241</v>
      </c>
      <c r="R15" s="227">
        <f>GETPIVOTDATA("Sum of OLD-Tot UG SCH Calc",'Pivot Table for Fact Book'!$A$3,"State","OK","type",7,"Type2","Two-Year")</f>
        <v>88090</v>
      </c>
      <c r="S15" s="230">
        <f>GETPIVOTDATA("Sum of NEW-Tot UG SCH Calc",'Pivot Table for Fact Book'!$A$3,"State","OK","type",7,"Type2","Two-Year")</f>
        <v>93148</v>
      </c>
      <c r="T15" s="230">
        <f>GETPIVOTDATA("Sum of OLD-Tot UG SCH Calc",'Pivot Table for Fact Book'!$A$3,"State","OK","type",8,"Type2","Two-Year")</f>
        <v>579239</v>
      </c>
      <c r="U15" s="230">
        <f>GETPIVOTDATA("Sum of NEW-Tot UG SCH Calc",'Pivot Table for Fact Book'!$A$3,"State","OK","type",8,"Type2","Two-Year")</f>
        <v>640500</v>
      </c>
      <c r="V15" s="230">
        <f>GETPIVOTDATA("Sum of OLD-Tot UG SCH Calc",'Pivot Table for Fact Book'!$A$3,"State","OK","type",9,"Type2","Two-Year")</f>
        <v>357987</v>
      </c>
      <c r="W15" s="230">
        <f>GETPIVOTDATA("Sum of NEW-Tot UG SCH Calc",'Pivot Table for Fact Book'!$A$3,"State","OK","type",9,"Type2","Two-Year")</f>
        <v>372605</v>
      </c>
      <c r="X15" s="230">
        <f>GETPIVOTDATA("Sum of OLD-Tot UG SCH Calc",'Pivot Table for Fact Book'!$A$3,"State","OK","type",10,"Type2","Two-Year")</f>
        <v>364550</v>
      </c>
      <c r="Y15" s="230">
        <f>GETPIVOTDATA("Sum of NEW-Tot UG SCH Calc",'Pivot Table for Fact Book'!$A$3,"State","OK","type",10,"Type2","Two-Year")</f>
        <v>397517</v>
      </c>
      <c r="Z15" s="231">
        <f>GETPIVOTDATA("Sum of OLD-Tot UG SCH Calc",'Pivot Table for Fact Book'!$A$3,"State","OK","Type2","Two-Year")</f>
        <v>1389866</v>
      </c>
      <c r="AA15" s="231">
        <f>GETPIVOTDATA("Sum of NEW-Tot UG SCH Calc",'Pivot Table for Fact Book'!$A$3,"State","OK","Type2","Two-Year")</f>
        <v>1503770</v>
      </c>
      <c r="AB15" s="227">
        <f>GETPIVOTDATA("Sum of OLD-Tot UG SCH Calc",'Pivot Table for Fact Book'!$A$3,"State","OK","type",12,"Type2","Technical")</f>
        <v>0</v>
      </c>
      <c r="AC15" s="230">
        <f>GETPIVOTDATA("Sum of NEW-Tot UG SCH Calc",'Pivot Table for Fact Book'!$A$3,"State","OK","type",12,"Type2","Technical")</f>
        <v>0</v>
      </c>
      <c r="AD15" s="227">
        <f>GETPIVOTDATA("Sum of OLD-Tot UG SCH Calc",'Pivot Table for Fact Book'!$A$3,"State","OK","type",13,"Type2","Technical")</f>
        <v>0</v>
      </c>
      <c r="AE15" s="230">
        <f>GETPIVOTDATA("Sum of NEW-Tot UG SCH Calc",'Pivot Table for Fact Book'!$A$3,"State","OK","type",13,"Type2","Technical")</f>
        <v>0</v>
      </c>
      <c r="AF15" s="232">
        <f>GETPIVOTDATA("Sum of OLD-Tot UG SCH Calc",'Pivot Table for Fact Book'!$A$3,"State","OK","Type2","Technical")</f>
        <v>0</v>
      </c>
      <c r="AG15" s="233">
        <f>GETPIVOTDATA("Sum of NEW-Tot UG SCH Calc",'Pivot Table for Fact Book'!$A$3,"State","OK","Type2","Technical")</f>
        <v>0</v>
      </c>
      <c r="AH15" s="27"/>
    </row>
    <row r="16" spans="1:34">
      <c r="A16" s="226" t="s">
        <v>664</v>
      </c>
      <c r="B16" s="227">
        <f>GETPIVOTDATA("Sum of OLD-Tot UG SCH Calc",'Pivot Table for Fact Book'!$A$3,"State","SC","type",1,"Type2","Four-Year")</f>
        <v>1018939</v>
      </c>
      <c r="C16" s="228">
        <f>GETPIVOTDATA("Sum of NEW-Tot UG SCH Calc",'Pivot Table for Fact Book'!$A$3,"State","SC","type",1,"Type2","Four-Year")</f>
        <v>1058660</v>
      </c>
      <c r="D16" s="227">
        <f>GETPIVOTDATA("Sum of OLD-Tot UG SCH Calc",'Pivot Table for Fact Book'!$A$3,"State","SC","type",2,"Type2","Four-Year")</f>
        <v>0</v>
      </c>
      <c r="E16" s="228">
        <f>GETPIVOTDATA("Sum of NEW-Tot UG SCH Calc",'Pivot Table for Fact Book'!$A$3,"State","SC","type",2,"Type2","Four-Year")</f>
        <v>0</v>
      </c>
      <c r="F16" s="227">
        <f>GETPIVOTDATA("Sum of OLD-Tot UG SCH Calc",'Pivot Table for Fact Book'!$A$3,"State","SC","type",3,"Type2","Four-Year")</f>
        <v>428374.5</v>
      </c>
      <c r="G16" s="228">
        <f>GETPIVOTDATA("Sum of NEW-Tot UG SCH Calc",'Pivot Table for Fact Book'!$A$3,"State","SC","type",3,"Type2","Four-Year")</f>
        <v>433308</v>
      </c>
      <c r="H16" s="227">
        <f>GETPIVOTDATA("Sum of OLD-Tot UG SCH Calc",'Pivot Table for Fact Book'!$A$3,"State","SC","type",4,"Type2","Four-Year")</f>
        <v>81587</v>
      </c>
      <c r="I16" s="228">
        <f>GETPIVOTDATA("Sum of NEW-Tot UG SCH Calc",'Pivot Table for Fact Book'!$A$3,"State","SC","type",4,"Type2","Four-Year")</f>
        <v>83574</v>
      </c>
      <c r="J16" s="227">
        <f>GETPIVOTDATA("Sum of OLD-Tot UG SCH Calc",'Pivot Table for Fact Book'!$A$3,"State","SC","type",5,"Type2","Four-Year")</f>
        <v>433677</v>
      </c>
      <c r="K16" s="228">
        <f>GETPIVOTDATA("Sum of NEW-Tot UG SCH Calc",'Pivot Table for Fact Book'!$A$3,"State","SC","type",5,"Type2","Four-Year")</f>
        <v>439761</v>
      </c>
      <c r="L16" s="227">
        <f>GETPIVOTDATA("Sum of OLD-Tot UG SCH Calc",'Pivot Table for Fact Book'!$A$3,"State","SC","type",6,"Type2","Four-Year")</f>
        <v>323373.5</v>
      </c>
      <c r="M16" s="228">
        <f>GETPIVOTDATA("Sum of NEW-Tot UG SCH Calc",'Pivot Table for Fact Book'!$A$3,"State","SC","type",6,"Type2","Four-Year")</f>
        <v>342501</v>
      </c>
      <c r="N16" s="227">
        <f>GETPIVOTDATA("Sum of OLD-Tot UG SCH Calc",'Pivot Table for Fact Book'!$A$3,"State","SC","type",15,"Type2","Four-Year")</f>
        <v>0</v>
      </c>
      <c r="O16" s="228">
        <f>GETPIVOTDATA("Sum of NEW-Tot UG SCH Calc",'Pivot Table for Fact Book'!$A$3,"State","SC","type",15,"Type2","Four-Year")</f>
        <v>0</v>
      </c>
      <c r="P16" s="229">
        <f>GETPIVOTDATA("Sum of OLD-Tot UG SCH Calc",'Pivot Table for Fact Book'!$A$3,"State","SC","Type2","Four-Year")</f>
        <v>2285951</v>
      </c>
      <c r="Q16" s="229">
        <f>GETPIVOTDATA("Sum of NEW-Tot UG SCH Calc",'Pivot Table for Fact Book'!$A$3,"State","SC","Type2","Four-Year")</f>
        <v>2357804</v>
      </c>
      <c r="R16" s="227">
        <f>GETPIVOTDATA("Sum of OLD-Tot UG SCH Calc",'Pivot Table for Fact Book'!$A$3,"State","SC","type",7,"Type2","Two-Year")</f>
        <v>0</v>
      </c>
      <c r="S16" s="230">
        <f>GETPIVOTDATA("Sum of NEW-Tot UG SCH Calc",'Pivot Table for Fact Book'!$A$3,"State","SC","type",7,"Type2","Two-Year")</f>
        <v>0</v>
      </c>
      <c r="T16" s="230">
        <f>GETPIVOTDATA("Sum of OLD-Tot UG SCH Calc",'Pivot Table for Fact Book'!$A$3,"State","SC","type",8,"Type2","Two-Year")</f>
        <v>877880.48</v>
      </c>
      <c r="U16" s="230">
        <f>GETPIVOTDATA("Sum of NEW-Tot UG SCH Calc",'Pivot Table for Fact Book'!$A$3,"State","SC","type",8,"Type2","Two-Year")</f>
        <v>971991</v>
      </c>
      <c r="V16" s="230">
        <f>GETPIVOTDATA("Sum of OLD-Tot UG SCH Calc",'Pivot Table for Fact Book'!$A$3,"State","SC","type",9,"Type2","Two-Year")</f>
        <v>941941.85</v>
      </c>
      <c r="W16" s="230">
        <f>GETPIVOTDATA("Sum of NEW-Tot UG SCH Calc",'Pivot Table for Fact Book'!$A$3,"State","SC","type",9,"Type2","Two-Year")</f>
        <v>1090511</v>
      </c>
      <c r="X16" s="230">
        <f>GETPIVOTDATA("Sum of OLD-Tot UG SCH Calc",'Pivot Table for Fact Book'!$A$3,"State","SC","type",10,"Type2","Two-Year")</f>
        <v>207221.99</v>
      </c>
      <c r="Y16" s="230">
        <f>GETPIVOTDATA("Sum of NEW-Tot UG SCH Calc",'Pivot Table for Fact Book'!$A$3,"State","SC","type",10,"Type2","Two-Year")</f>
        <v>224001</v>
      </c>
      <c r="Z16" s="231">
        <f>GETPIVOTDATA("Sum of OLD-Tot UG SCH Calc",'Pivot Table for Fact Book'!$A$3,"State","SC","Type2","Two-Year")</f>
        <v>2027044.32</v>
      </c>
      <c r="AA16" s="231">
        <f>GETPIVOTDATA("Sum of NEW-Tot UG SCH Calc",'Pivot Table for Fact Book'!$A$3,"State","SC","Type2","Two-Year")</f>
        <v>2286503</v>
      </c>
      <c r="AB16" s="227">
        <f>GETPIVOTDATA("Sum of OLD-Tot UG SCH Calc",'Pivot Table for Fact Book'!$A$3,"State","SC","type",12,"Type2","Technical")</f>
        <v>0</v>
      </c>
      <c r="AC16" s="230">
        <f>GETPIVOTDATA("Sum of NEW-Tot UG SCH Calc",'Pivot Table for Fact Book'!$A$3,"State","SC","type",12,"Type2","Technical")</f>
        <v>0</v>
      </c>
      <c r="AD16" s="227">
        <f>GETPIVOTDATA("Sum of OLD-Tot UG SCH Calc",'Pivot Table for Fact Book'!$A$3,"State","SC","type",13,"Type2","Technical")</f>
        <v>0</v>
      </c>
      <c r="AE16" s="230">
        <f>GETPIVOTDATA("Sum of NEW-Tot UG SCH Calc",'Pivot Table for Fact Book'!$A$3,"State","SC","type",13,"Type2","Technical")</f>
        <v>0</v>
      </c>
      <c r="AF16" s="232">
        <f>GETPIVOTDATA("Sum of OLD-Tot UG SCH Calc",'Pivot Table for Fact Book'!$A$3,"State","SC","Type2","Technical")</f>
        <v>0</v>
      </c>
      <c r="AG16" s="233">
        <f>GETPIVOTDATA("Sum of NEW-Tot UG SCH Calc",'Pivot Table for Fact Book'!$A$3,"State","SC","Type2","Technical")</f>
        <v>0</v>
      </c>
      <c r="AH16" s="27"/>
    </row>
    <row r="17" spans="1:34">
      <c r="A17" s="226" t="s">
        <v>665</v>
      </c>
      <c r="B17" s="227">
        <f>GETPIVOTDATA("Sum of OLD-Tot UG SCH Calc",'Pivot Table for Fact Book'!$A$3,"State","TN","type",1,"Type2","Four-Year")</f>
        <v>1022049</v>
      </c>
      <c r="C17" s="228">
        <f>GETPIVOTDATA("Sum of NEW-Tot UG SCH Calc",'Pivot Table for Fact Book'!$A$3,"State","TN","type",1,"Type2","Four-Year")</f>
        <v>1030515</v>
      </c>
      <c r="D17" s="227">
        <f>GETPIVOTDATA("Sum of OLD-Tot UG SCH Calc",'Pivot Table for Fact Book'!$A$3,"State","TN","type",2,"Type2","Four-Year")</f>
        <v>0</v>
      </c>
      <c r="E17" s="228">
        <f>GETPIVOTDATA("Sum of NEW-Tot UG SCH Calc",'Pivot Table for Fact Book'!$A$3,"State","TN","type",2,"Type2","Four-Year")</f>
        <v>0</v>
      </c>
      <c r="F17" s="227">
        <f>GETPIVOTDATA("Sum of OLD-Tot UG SCH Calc",'Pivot Table for Fact Book'!$A$3,"State","TN","type",3,"Type2","Four-Year")</f>
        <v>1500352</v>
      </c>
      <c r="G17" s="228">
        <f>GETPIVOTDATA("Sum of NEW-Tot UG SCH Calc",'Pivot Table for Fact Book'!$A$3,"State","TN","type",3,"Type2","Four-Year")</f>
        <v>1556137</v>
      </c>
      <c r="H17" s="227">
        <f>GETPIVOTDATA("Sum of OLD-Tot UG SCH Calc",'Pivot Table for Fact Book'!$A$3,"State","TN","type",4,"Type2","Four-Year")</f>
        <v>217042</v>
      </c>
      <c r="I17" s="228">
        <f>GETPIVOTDATA("Sum of NEW-Tot UG SCH Calc",'Pivot Table for Fact Book'!$A$3,"State","TN","type",4,"Type2","Four-Year")</f>
        <v>222816</v>
      </c>
      <c r="J17" s="227">
        <f>GETPIVOTDATA("Sum of OLD-Tot UG SCH Calc",'Pivot Table for Fact Book'!$A$3,"State","TN","type",5,"Type2","Four-Year")</f>
        <v>184664</v>
      </c>
      <c r="K17" s="228">
        <f>GETPIVOTDATA("Sum of NEW-Tot UG SCH Calc",'Pivot Table for Fact Book'!$A$3,"State","TN","type",5,"Type2","Four-Year")</f>
        <v>193747</v>
      </c>
      <c r="L17" s="227">
        <f>GETPIVOTDATA("Sum of OLD-Tot UG SCH Calc",'Pivot Table for Fact Book'!$A$3,"State","TN","type",6,"Type2","Four-Year")</f>
        <v>0</v>
      </c>
      <c r="M17" s="228">
        <f>GETPIVOTDATA("Sum of NEW-Tot UG SCH Calc",'Pivot Table for Fact Book'!$A$3,"State","TN","type",6,"Type2","Four-Year")</f>
        <v>0</v>
      </c>
      <c r="N17" s="227">
        <f>GETPIVOTDATA("Sum of OLD-Tot UG SCH Calc",'Pivot Table for Fact Book'!$A$3,"State","TN","type",15,"Type2","Four-Year")</f>
        <v>0</v>
      </c>
      <c r="O17" s="228">
        <f>GETPIVOTDATA("Sum of NEW-Tot UG SCH Calc",'Pivot Table for Fact Book'!$A$3,"State","TN","type",15,"Type2","Four-Year")</f>
        <v>0</v>
      </c>
      <c r="P17" s="229">
        <f>GETPIVOTDATA("Sum of OLD-Tot UG SCH Calc",'Pivot Table for Fact Book'!$A$3,"State","TN","Type2","Four-Year")</f>
        <v>2924107</v>
      </c>
      <c r="Q17" s="229">
        <f>GETPIVOTDATA("Sum of NEW-Tot UG SCH Calc",'Pivot Table for Fact Book'!$A$3,"State","TN","Type2","Four-Year")</f>
        <v>3003215</v>
      </c>
      <c r="R17" s="227">
        <f>GETPIVOTDATA("Sum of OLD-Tot UG SCH Calc",'Pivot Table for Fact Book'!$A$3,"State","TN","type",7,"Type2","Two-Year")</f>
        <v>0</v>
      </c>
      <c r="S17" s="230">
        <f>GETPIVOTDATA("Sum of NEW-Tot UG SCH Calc",'Pivot Table for Fact Book'!$A$3,"State","TN","type",7,"Type2","Two-Year")</f>
        <v>0</v>
      </c>
      <c r="T17" s="230">
        <f>GETPIVOTDATA("Sum of OLD-Tot UG SCH Calc",'Pivot Table for Fact Book'!$A$3,"State","TN","type",8,"Type2","Two-Year")</f>
        <v>577619</v>
      </c>
      <c r="U17" s="230">
        <f>GETPIVOTDATA("Sum of NEW-Tot UG SCH Calc",'Pivot Table for Fact Book'!$A$3,"State","TN","type",8,"Type2","Two-Year")</f>
        <v>653285</v>
      </c>
      <c r="V17" s="230">
        <f>GETPIVOTDATA("Sum of OLD-Tot UG SCH Calc",'Pivot Table for Fact Book'!$A$3,"State","TN","type",9,"Type2","Two-Year")</f>
        <v>976795</v>
      </c>
      <c r="W17" s="230">
        <f>GETPIVOTDATA("Sum of NEW-Tot UG SCH Calc",'Pivot Table for Fact Book'!$A$3,"State","TN","type",9,"Type2","Two-Year")</f>
        <v>1103557</v>
      </c>
      <c r="X17" s="230">
        <f>GETPIVOTDATA("Sum of OLD-Tot UG SCH Calc",'Pivot Table for Fact Book'!$A$3,"State","TN","type",10,"Type2","Two-Year")</f>
        <v>51542</v>
      </c>
      <c r="Y17" s="230">
        <f>GETPIVOTDATA("Sum of NEW-Tot UG SCH Calc",'Pivot Table for Fact Book'!$A$3,"State","TN","type",10,"Type2","Two-Year")</f>
        <v>61785</v>
      </c>
      <c r="Z17" s="231">
        <f>GETPIVOTDATA("Sum of OLD-Tot UG SCH Calc",'Pivot Table for Fact Book'!$A$3,"State","TN","Type2","Two-Year")</f>
        <v>1605956</v>
      </c>
      <c r="AA17" s="231">
        <f>GETPIVOTDATA("Sum of NEW-Tot UG SCH Calc",'Pivot Table for Fact Book'!$A$3,"State","TN","Type2","Two-Year")</f>
        <v>1818627</v>
      </c>
      <c r="AB17" s="227">
        <f>GETPIVOTDATA("Sum of OLD-Tot UG SCH Calc",'Pivot Table for Fact Book'!$A$3,"State","TN","type",12,"Type2","Technical")</f>
        <v>0</v>
      </c>
      <c r="AC17" s="230">
        <f>GETPIVOTDATA("Sum of NEW-Tot UG SCH Calc",'Pivot Table for Fact Book'!$A$3,"State","TN","type",12,"Type2","Technical")</f>
        <v>0</v>
      </c>
      <c r="AD17" s="227">
        <f>GETPIVOTDATA("Sum of OLD-Tot UG SCH Calc",'Pivot Table for Fact Book'!$A$3,"State","TN","type",13,"Type2","Technical")</f>
        <v>9933530</v>
      </c>
      <c r="AE17" s="230">
        <f>GETPIVOTDATA("Sum of NEW-Tot UG SCH Calc",'Pivot Table for Fact Book'!$A$3,"State","TN","type",13,"Type2","Technical")</f>
        <v>11553299</v>
      </c>
      <c r="AF17" s="232">
        <f>GETPIVOTDATA("Sum of OLD-Tot UG SCH Calc",'Pivot Table for Fact Book'!$A$3,"State","TN","Type2","Technical")</f>
        <v>9933530</v>
      </c>
      <c r="AG17" s="233">
        <f>GETPIVOTDATA("Sum of NEW-Tot UG SCH Calc",'Pivot Table for Fact Book'!$A$3,"State","TN","Type2","Technical")</f>
        <v>11553299</v>
      </c>
      <c r="AH17" s="27"/>
    </row>
    <row r="18" spans="1:34">
      <c r="A18" s="226" t="s">
        <v>666</v>
      </c>
      <c r="B18" s="227">
        <f>GETPIVOTDATA("Sum of OLD-Tot UG SCH Calc",'Pivot Table for Fact Book'!$A$3,"State","TX","type",1,"Type2","Four-Year")</f>
        <v>4866655</v>
      </c>
      <c r="C18" s="228">
        <f>GETPIVOTDATA("Sum of NEW-Tot UG SCH Calc",'Pivot Table for Fact Book'!$A$3,"State","TX","type",1,"Type2","Four-Year")</f>
        <v>4928585</v>
      </c>
      <c r="D18" s="227">
        <f>GETPIVOTDATA("Sum of OLD-Tot UG SCH Calc",'Pivot Table for Fact Book'!$A$3,"State","TX","type",2,"Type2","Four-Year")</f>
        <v>1203233</v>
      </c>
      <c r="E18" s="228">
        <f>GETPIVOTDATA("Sum of NEW-Tot UG SCH Calc",'Pivot Table for Fact Book'!$A$3,"State","TX","type",2,"Type2","Four-Year")</f>
        <v>1221849</v>
      </c>
      <c r="F18" s="227">
        <f>GETPIVOTDATA("Sum of OLD-Tot UG SCH Calc",'Pivot Table for Fact Book'!$A$3,"State","TX","type",3,"Type2","Four-Year")</f>
        <v>3777636</v>
      </c>
      <c r="G18" s="228">
        <f>GETPIVOTDATA("Sum of NEW-Tot UG SCH Calc",'Pivot Table for Fact Book'!$A$3,"State","TX","type",3,"Type2","Four-Year")</f>
        <v>3862604</v>
      </c>
      <c r="H18" s="227">
        <f>GETPIVOTDATA("Sum of OLD-Tot UG SCH Calc",'Pivot Table for Fact Book'!$A$3,"State","TX","type",4,"Type2","Four-Year")</f>
        <v>213234</v>
      </c>
      <c r="I18" s="228">
        <f>GETPIVOTDATA("Sum of NEW-Tot UG SCH Calc",'Pivot Table for Fact Book'!$A$3,"State","TX","type",4,"Type2","Four-Year")</f>
        <v>222597</v>
      </c>
      <c r="J18" s="227">
        <f>GETPIVOTDATA("Sum of OLD-Tot UG SCH Calc",'Pivot Table for Fact Book'!$A$3,"State","TX","type",5,"Type2","Four-Year")</f>
        <v>270911</v>
      </c>
      <c r="K18" s="228">
        <f>GETPIVOTDATA("Sum of NEW-Tot UG SCH Calc",'Pivot Table for Fact Book'!$A$3,"State","TX","type",5,"Type2","Four-Year")</f>
        <v>276483</v>
      </c>
      <c r="L18" s="227">
        <f>GETPIVOTDATA("Sum of OLD-Tot UG SCH Calc",'Pivot Table for Fact Book'!$A$3,"State","TX","type",6,"Type2","Four-Year")</f>
        <v>44481</v>
      </c>
      <c r="M18" s="228">
        <f>GETPIVOTDATA("Sum of NEW-Tot UG SCH Calc",'Pivot Table for Fact Book'!$A$3,"State","TX","type",6,"Type2","Four-Year")</f>
        <v>49077</v>
      </c>
      <c r="N18" s="227">
        <f>GETPIVOTDATA("Sum of OLD-Tot UG SCH Calc",'Pivot Table for Fact Book'!$A$3,"State","TX","type",15,"Type2","Four-Year")</f>
        <v>0</v>
      </c>
      <c r="O18" s="228">
        <f>GETPIVOTDATA("Sum of NEW-Tot UG SCH Calc",'Pivot Table for Fact Book'!$A$3,"State","TX","type",15,"Type2","Four-Year")</f>
        <v>0</v>
      </c>
      <c r="P18" s="229">
        <f>GETPIVOTDATA("Sum of OLD-Tot UG SCH Calc",'Pivot Table for Fact Book'!$A$3,"State","TX","Type2","Four-Year")</f>
        <v>10376150</v>
      </c>
      <c r="Q18" s="229">
        <f>GETPIVOTDATA("Sum of NEW-Tot UG SCH Calc",'Pivot Table for Fact Book'!$A$3,"State","TX","Type2","Four-Year")</f>
        <v>10561195</v>
      </c>
      <c r="R18" s="227">
        <f>GETPIVOTDATA("Sum of OLD-Tot UG SCH Calc",'Pivot Table for Fact Book'!$A$3,"State","TX","type",7,"Type2","Two-Year")</f>
        <v>569202</v>
      </c>
      <c r="S18" s="230">
        <f>GETPIVOTDATA("Sum of NEW-Tot UG SCH Calc",'Pivot Table for Fact Book'!$A$3,"State","TX","type",7,"Type2","Two-Year")</f>
        <v>645990</v>
      </c>
      <c r="T18" s="230">
        <f>GETPIVOTDATA("Sum of OLD-Tot UG SCH Calc",'Pivot Table for Fact Book'!$A$3,"State","TX","type",8,"Type2","Two-Year")</f>
        <v>8227078</v>
      </c>
      <c r="U18" s="230">
        <f>GETPIVOTDATA("Sum of NEW-Tot UG SCH Calc",'Pivot Table for Fact Book'!$A$3,"State","TX","type",8,"Type2","Two-Year")</f>
        <v>9025044</v>
      </c>
      <c r="V18" s="230">
        <f>GETPIVOTDATA("Sum of OLD-Tot UG SCH Calc",'Pivot Table for Fact Book'!$A$3,"State","TX","type",9,"Type2","Two-Year")</f>
        <v>2615250</v>
      </c>
      <c r="W18" s="230">
        <f>GETPIVOTDATA("Sum of NEW-Tot UG SCH Calc",'Pivot Table for Fact Book'!$A$3,"State","TX","type",9,"Type2","Two-Year")</f>
        <v>2903555</v>
      </c>
      <c r="X18" s="230">
        <f>GETPIVOTDATA("Sum of OLD-Tot UG SCH Calc",'Pivot Table for Fact Book'!$A$3,"State","TX","type",10,"Type2","Two-Year")</f>
        <v>553231</v>
      </c>
      <c r="Y18" s="230">
        <f>GETPIVOTDATA("Sum of NEW-Tot UG SCH Calc",'Pivot Table for Fact Book'!$A$3,"State","TX","type",10,"Type2","Two-Year")</f>
        <v>594945</v>
      </c>
      <c r="Z18" s="231">
        <f>GETPIVOTDATA("Sum of OLD-Tot UG SCH Calc",'Pivot Table for Fact Book'!$A$3,"State","TX","Type2","Two-Year")</f>
        <v>11964761</v>
      </c>
      <c r="AA18" s="231">
        <f>GETPIVOTDATA("Sum of NEW-Tot UG SCH Calc",'Pivot Table for Fact Book'!$A$3,"State","TX","Type2","Two-Year")</f>
        <v>13169534</v>
      </c>
      <c r="AB18" s="227">
        <f>GETPIVOTDATA("Sum of OLD-Tot UG SCH Calc",'Pivot Table for Fact Book'!$A$3,"State","TX","type",12,"Type2","Technical")</f>
        <v>0</v>
      </c>
      <c r="AC18" s="230">
        <f>GETPIVOTDATA("Sum of NEW-Tot UG SCH Calc",'Pivot Table for Fact Book'!$A$3,"State","TX","type",12,"Type2","Technical")</f>
        <v>0</v>
      </c>
      <c r="AD18" s="227">
        <f>GETPIVOTDATA("Sum of OLD-Tot UG SCH Calc",'Pivot Table for Fact Book'!$A$3,"State","TX","type",13,"Type2","Technical")</f>
        <v>0</v>
      </c>
      <c r="AE18" s="230">
        <f>GETPIVOTDATA("Sum of NEW-Tot UG SCH Calc",'Pivot Table for Fact Book'!$A$3,"State","TX","type",13,"Type2","Technical")</f>
        <v>0</v>
      </c>
      <c r="AF18" s="232">
        <f>GETPIVOTDATA("Sum of OLD-Tot UG SCH Calc",'Pivot Table for Fact Book'!$A$3,"State","TX","Type2","Technical")</f>
        <v>0</v>
      </c>
      <c r="AG18" s="233">
        <f>GETPIVOTDATA("Sum of NEW-Tot UG SCH Calc",'Pivot Table for Fact Book'!$A$3,"State","TX","Type2","Technical")</f>
        <v>0</v>
      </c>
      <c r="AH18" s="27"/>
    </row>
    <row r="19" spans="1:34">
      <c r="A19" s="226" t="s">
        <v>667</v>
      </c>
      <c r="B19" s="227">
        <f>GETPIVOTDATA("Sum of OLD-Tot UG SCH Calc",'Pivot Table for Fact Book'!$A$3,"State","VA","type",1,"Type2","Four-Year")</f>
        <v>0</v>
      </c>
      <c r="C19" s="228">
        <f>GETPIVOTDATA("Sum of NEW-Tot UG SCH Calc",'Pivot Table for Fact Book'!$A$3,"State","VA","type",1,"Type2","Four-Year")</f>
        <v>0</v>
      </c>
      <c r="D19" s="227">
        <f>GETPIVOTDATA("Sum of OLD-Tot UG SCH Calc",'Pivot Table for Fact Book'!$A$3,"State","VA","type",2,"Type2","Four-Year")</f>
        <v>0</v>
      </c>
      <c r="E19" s="228">
        <f>GETPIVOTDATA("Sum of NEW-Tot UG SCH Calc",'Pivot Table for Fact Book'!$A$3,"State","VA","type",2,"Type2","Four-Year")</f>
        <v>0</v>
      </c>
      <c r="F19" s="227">
        <f>GETPIVOTDATA("Sum of OLD-Tot UG SCH Calc",'Pivot Table for Fact Book'!$A$3,"State","VA","type",3,"Type2","Four-Year")</f>
        <v>0</v>
      </c>
      <c r="G19" s="228">
        <f>GETPIVOTDATA("Sum of NEW-Tot UG SCH Calc",'Pivot Table for Fact Book'!$A$3,"State","VA","type",3,"Type2","Four-Year")</f>
        <v>0</v>
      </c>
      <c r="H19" s="227">
        <f>GETPIVOTDATA("Sum of OLD-Tot UG SCH Calc",'Pivot Table for Fact Book'!$A$3,"State","VA","type",4,"Type2","Four-Year")</f>
        <v>0</v>
      </c>
      <c r="I19" s="228">
        <f>GETPIVOTDATA("Sum of NEW-Tot UG SCH Calc",'Pivot Table for Fact Book'!$A$3,"State","VA","type",4,"Type2","Four-Year")</f>
        <v>0</v>
      </c>
      <c r="J19" s="227">
        <f>GETPIVOTDATA("Sum of OLD-Tot UG SCH Calc",'Pivot Table for Fact Book'!$A$3,"State","VA","type",5,"Type2","Four-Year")</f>
        <v>0</v>
      </c>
      <c r="K19" s="228">
        <f>GETPIVOTDATA("Sum of NEW-Tot UG SCH Calc",'Pivot Table for Fact Book'!$A$3,"State","VA","type",5,"Type2","Four-Year")</f>
        <v>0</v>
      </c>
      <c r="L19" s="227">
        <f>GETPIVOTDATA("Sum of OLD-Tot UG SCH Calc",'Pivot Table for Fact Book'!$A$3,"State","VA","type",6,"Type2","Four-Year")</f>
        <v>0</v>
      </c>
      <c r="M19" s="228">
        <f>GETPIVOTDATA("Sum of NEW-Tot UG SCH Calc",'Pivot Table for Fact Book'!$A$3,"State","VA","type",6,"Type2","Four-Year")</f>
        <v>0</v>
      </c>
      <c r="N19" s="227">
        <f>GETPIVOTDATA("Sum of OLD-Tot UG SCH Calc",'Pivot Table for Fact Book'!$A$3,"State","VA","type",15,"Type2","Four-Year")</f>
        <v>0</v>
      </c>
      <c r="O19" s="228">
        <f>GETPIVOTDATA("Sum of NEW-Tot UG SCH Calc",'Pivot Table for Fact Book'!$A$3,"State","VA","type",15,"Type2","Four-Year")</f>
        <v>0</v>
      </c>
      <c r="P19" s="229">
        <f>GETPIVOTDATA("Sum of OLD-Tot UG SCH Calc",'Pivot Table for Fact Book'!$A$3,"State","VA","Type2","Four-Year")</f>
        <v>0</v>
      </c>
      <c r="Q19" s="229">
        <f>GETPIVOTDATA("Sum of NEW-Tot UG SCH Calc",'Pivot Table for Fact Book'!$A$3,"State","VA","Type2","Four-Year")</f>
        <v>0</v>
      </c>
      <c r="R19" s="227">
        <f>GETPIVOTDATA("Sum of OLD-Tot UG SCH Calc",'Pivot Table for Fact Book'!$A$3,"State","VA","type",7,"Type2","Two-Year")</f>
        <v>0</v>
      </c>
      <c r="S19" s="230">
        <f>GETPIVOTDATA("Sum of NEW-Tot UG SCH Calc",'Pivot Table for Fact Book'!$A$3,"State","VA","type",7,"Type2","Two-Year")</f>
        <v>0</v>
      </c>
      <c r="T19" s="230">
        <f>GETPIVOTDATA("Sum of OLD-Tot UG SCH Calc",'Pivot Table for Fact Book'!$A$3,"State","VA","type",8,"Type2","Two-Year")</f>
        <v>0</v>
      </c>
      <c r="U19" s="230">
        <f>GETPIVOTDATA("Sum of NEW-Tot UG SCH Calc",'Pivot Table for Fact Book'!$A$3,"State","VA","type",8,"Type2","Two-Year")</f>
        <v>0</v>
      </c>
      <c r="V19" s="230">
        <f>GETPIVOTDATA("Sum of OLD-Tot UG SCH Calc",'Pivot Table for Fact Book'!$A$3,"State","VA","type",9,"Type2","Two-Year")</f>
        <v>0</v>
      </c>
      <c r="W19" s="230">
        <f>GETPIVOTDATA("Sum of NEW-Tot UG SCH Calc",'Pivot Table for Fact Book'!$A$3,"State","VA","type",9,"Type2","Two-Year")</f>
        <v>0</v>
      </c>
      <c r="X19" s="230">
        <f>GETPIVOTDATA("Sum of OLD-Tot UG SCH Calc",'Pivot Table for Fact Book'!$A$3,"State","VA","type",10,"Type2","Two-Year")</f>
        <v>0</v>
      </c>
      <c r="Y19" s="230">
        <f>GETPIVOTDATA("Sum of NEW-Tot UG SCH Calc",'Pivot Table for Fact Book'!$A$3,"State","VA","type",10,"Type2","Two-Year")</f>
        <v>0</v>
      </c>
      <c r="Z19" s="231">
        <f>GETPIVOTDATA("Sum of OLD-Tot UG SCH Calc",'Pivot Table for Fact Book'!$A$3,"State","VA","Type2","Two-Year")</f>
        <v>0</v>
      </c>
      <c r="AA19" s="231">
        <f>GETPIVOTDATA("Sum of NEW-Tot UG SCH Calc",'Pivot Table for Fact Book'!$A$3,"State","VA","Type2","Two-Year")</f>
        <v>0</v>
      </c>
      <c r="AB19" s="227">
        <f>GETPIVOTDATA("Sum of OLD-Tot UG SCH Calc",'Pivot Table for Fact Book'!$A$3,"State","VA","type",12,"Type2","Technical")</f>
        <v>0</v>
      </c>
      <c r="AC19" s="230">
        <f>GETPIVOTDATA("Sum of NEW-Tot UG SCH Calc",'Pivot Table for Fact Book'!$A$3,"State","VA","type",12,"Type2","Technical")</f>
        <v>0</v>
      </c>
      <c r="AD19" s="227">
        <f>GETPIVOTDATA("Sum of OLD-Tot UG SCH Calc",'Pivot Table for Fact Book'!$A$3,"State","VA","type",13,"Type2","Technical")</f>
        <v>0</v>
      </c>
      <c r="AE19" s="230">
        <f>GETPIVOTDATA("Sum of NEW-Tot UG SCH Calc",'Pivot Table for Fact Book'!$A$3,"State","VA","type",13,"Type2","Technical")</f>
        <v>0</v>
      </c>
      <c r="AF19" s="232">
        <f>GETPIVOTDATA("Sum of OLD-Tot UG SCH Calc",'Pivot Table for Fact Book'!$A$3,"State","VA","Type2","Technical")</f>
        <v>0</v>
      </c>
      <c r="AG19" s="233">
        <f>GETPIVOTDATA("Sum of NEW-Tot UG SCH Calc",'Pivot Table for Fact Book'!$A$3,"State","VA","Type2","Technical")</f>
        <v>0</v>
      </c>
      <c r="AH19" s="27"/>
    </row>
    <row r="20" spans="1:34">
      <c r="A20" s="226" t="s">
        <v>668</v>
      </c>
      <c r="B20" s="227">
        <f>GETPIVOTDATA("Sum of OLD-Tot UG SCH Calc",'Pivot Table for Fact Book'!$A$3,"State","WV","type",1,"Type2","Four-Year")</f>
        <v>636145</v>
      </c>
      <c r="C20" s="228">
        <f>GETPIVOTDATA("Sum of NEW-Tot UG SCH Calc",'Pivot Table for Fact Book'!$A$3,"State","WV","type",1,"Type2","Four-Year")</f>
        <v>643635</v>
      </c>
      <c r="D20" s="227">
        <f>GETPIVOTDATA("Sum of OLD-Tot UG SCH Calc",'Pivot Table for Fact Book'!$A$3,"State","WV","type",2,"Type2","Four-Year")</f>
        <v>0</v>
      </c>
      <c r="E20" s="228">
        <f>GETPIVOTDATA("Sum of NEW-Tot UG SCH Calc",'Pivot Table for Fact Book'!$A$3,"State","WV","type",2,"Type2","Four-Year")</f>
        <v>0</v>
      </c>
      <c r="F20" s="227">
        <f>GETPIVOTDATA("Sum of OLD-Tot UG SCH Calc",'Pivot Table for Fact Book'!$A$3,"State","WV","type",3,"Type2","Four-Year")</f>
        <v>252632</v>
      </c>
      <c r="G20" s="228">
        <f>GETPIVOTDATA("Sum of NEW-Tot UG SCH Calc",'Pivot Table for Fact Book'!$A$3,"State","WV","type",3,"Type2","Four-Year")</f>
        <v>254769</v>
      </c>
      <c r="H20" s="227">
        <f>GETPIVOTDATA("Sum of OLD-Tot UG SCH Calc",'Pivot Table for Fact Book'!$A$3,"State","WV","type",4,"Type2","Four-Year")</f>
        <v>0</v>
      </c>
      <c r="I20" s="228">
        <f>GETPIVOTDATA("Sum of NEW-Tot UG SCH Calc",'Pivot Table for Fact Book'!$A$3,"State","WV","type",4,"Type2","Four-Year")</f>
        <v>0</v>
      </c>
      <c r="J20" s="227">
        <f>GETPIVOTDATA("Sum of OLD-Tot UG SCH Calc",'Pivot Table for Fact Book'!$A$3,"State","WV","type",5,"Type2","Four-Year")</f>
        <v>113530</v>
      </c>
      <c r="K20" s="228">
        <f>GETPIVOTDATA("Sum of NEW-Tot UG SCH Calc",'Pivot Table for Fact Book'!$A$3,"State","WV","type",5,"Type2","Four-Year")</f>
        <v>115602</v>
      </c>
      <c r="L20" s="227">
        <f>GETPIVOTDATA("Sum of OLD-Tot UG SCH Calc",'Pivot Table for Fact Book'!$A$3,"State","WV","type",6,"Type2","Four-Year")</f>
        <v>445548</v>
      </c>
      <c r="M20" s="228">
        <f>GETPIVOTDATA("Sum of NEW-Tot UG SCH Calc",'Pivot Table for Fact Book'!$A$3,"State","WV","type",6,"Type2","Four-Year")</f>
        <v>462341</v>
      </c>
      <c r="N20" s="227">
        <f>GETPIVOTDATA("Sum of OLD-Tot UG SCH Calc",'Pivot Table for Fact Book'!$A$3,"State","WV","type",15,"Type2","Four-Year")</f>
        <v>0</v>
      </c>
      <c r="O20" s="228">
        <f>GETPIVOTDATA("Sum of NEW-Tot UG SCH Calc",'Pivot Table for Fact Book'!$A$3,"State","WV","type",15,"Type2","Four-Year")</f>
        <v>0</v>
      </c>
      <c r="P20" s="229">
        <f>GETPIVOTDATA("Sum of OLD-Tot UG SCH Calc",'Pivot Table for Fact Book'!$A$3,"State","WV","Type2","Four-Year")</f>
        <v>1447855</v>
      </c>
      <c r="Q20" s="229">
        <f>GETPIVOTDATA("Sum of NEW-Tot UG SCH Calc",'Pivot Table for Fact Book'!$A$3,"State","WV","Type2","Four-Year")</f>
        <v>1476347</v>
      </c>
      <c r="R20" s="227">
        <f>GETPIVOTDATA("Sum of OLD-Tot UG SCH Calc",'Pivot Table for Fact Book'!$A$3,"State","WV","type",7,"Type2","Two-Year")</f>
        <v>120439</v>
      </c>
      <c r="S20" s="230">
        <f>GETPIVOTDATA("Sum of NEW-Tot UG SCH Calc",'Pivot Table for Fact Book'!$A$3,"State","WV","type",7,"Type2","Two-Year")</f>
        <v>134095</v>
      </c>
      <c r="T20" s="230">
        <f>GETPIVOTDATA("Sum of OLD-Tot UG SCH Calc",'Pivot Table for Fact Book'!$A$3,"State","WV","type",8,"Type2","Two-Year")</f>
        <v>0</v>
      </c>
      <c r="U20" s="230">
        <f>GETPIVOTDATA("Sum of NEW-Tot UG SCH Calc",'Pivot Table for Fact Book'!$A$3,"State","WV","type",8,"Type2","Two-Year")</f>
        <v>0</v>
      </c>
      <c r="V20" s="230">
        <f>GETPIVOTDATA("Sum of OLD-Tot UG SCH Calc",'Pivot Table for Fact Book'!$A$3,"State","WV","type",9,"Type2","Two-Year")</f>
        <v>0</v>
      </c>
      <c r="W20" s="230">
        <f>GETPIVOTDATA("Sum of NEW-Tot UG SCH Calc",'Pivot Table for Fact Book'!$A$3,"State","WV","type",9,"Type2","Two-Year")</f>
        <v>0</v>
      </c>
      <c r="X20" s="230">
        <f>GETPIVOTDATA("Sum of OLD-Tot UG SCH Calc",'Pivot Table for Fact Book'!$A$3,"State","WV","type",10,"Type2","Two-Year")</f>
        <v>355724</v>
      </c>
      <c r="Y20" s="230">
        <f>GETPIVOTDATA("Sum of NEW-Tot UG SCH Calc",'Pivot Table for Fact Book'!$A$3,"State","WV","type",10,"Type2","Two-Year")</f>
        <v>392384</v>
      </c>
      <c r="Z20" s="231">
        <f>GETPIVOTDATA("Sum of OLD-Tot UG SCH Calc",'Pivot Table for Fact Book'!$A$3,"State","WV","Type2","Two-Year")</f>
        <v>476163</v>
      </c>
      <c r="AA20" s="231">
        <f>GETPIVOTDATA("Sum of NEW-Tot UG SCH Calc",'Pivot Table for Fact Book'!$A$3,"State","WV","Type2","Two-Year")</f>
        <v>526479</v>
      </c>
      <c r="AB20" s="227">
        <f>GETPIVOTDATA("Sum of OLD-Tot UG SCH Calc",'Pivot Table for Fact Book'!$A$3,"State","WV","type",12,"Type2","Technical")</f>
        <v>0</v>
      </c>
      <c r="AC20" s="230">
        <f>GETPIVOTDATA("Sum of NEW-Tot UG SCH Calc",'Pivot Table for Fact Book'!$A$3,"State","WV","type",12,"Type2","Technical")</f>
        <v>0</v>
      </c>
      <c r="AD20" s="227">
        <f>GETPIVOTDATA("Sum of OLD-Tot UG SCH Calc",'Pivot Table for Fact Book'!$A$3,"State","WV","type",13,"Type2","Technical")</f>
        <v>0</v>
      </c>
      <c r="AE20" s="230">
        <f>GETPIVOTDATA("Sum of NEW-Tot UG SCH Calc",'Pivot Table for Fact Book'!$A$3,"State","WV","type",13,"Type2","Technical")</f>
        <v>0</v>
      </c>
      <c r="AF20" s="232">
        <f>GETPIVOTDATA("Sum of OLD-Tot UG SCH Calc",'Pivot Table for Fact Book'!$A$3,"State","WV","Type2","Technical")</f>
        <v>0</v>
      </c>
      <c r="AG20" s="233">
        <f>GETPIVOTDATA("Sum of NEW-Tot UG SCH Calc",'Pivot Table for Fact Book'!$A$3,"State","WV","Type2","Technical")</f>
        <v>0</v>
      </c>
      <c r="AH20" s="27"/>
    </row>
    <row r="21" spans="1:34">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row>
    <row r="22" spans="1:34">
      <c r="A22" s="77" t="s">
        <v>711</v>
      </c>
    </row>
    <row r="23" spans="1:34">
      <c r="B23" s="211" t="s">
        <v>707</v>
      </c>
      <c r="C23" s="212"/>
      <c r="D23" s="212"/>
      <c r="E23" s="212"/>
      <c r="F23" s="212"/>
      <c r="G23" s="212"/>
      <c r="H23" s="212"/>
      <c r="I23" s="212"/>
      <c r="J23" s="212"/>
      <c r="K23" s="212"/>
      <c r="L23" s="212"/>
      <c r="M23" s="212"/>
      <c r="N23" s="212"/>
      <c r="O23" s="212"/>
      <c r="P23" s="212"/>
      <c r="Q23" s="213"/>
      <c r="R23" s="214" t="s">
        <v>708</v>
      </c>
      <c r="S23" s="215"/>
      <c r="T23" s="215"/>
      <c r="U23" s="215"/>
      <c r="V23" s="215"/>
      <c r="W23" s="215"/>
      <c r="X23" s="215"/>
      <c r="Y23" s="215"/>
      <c r="Z23" s="215"/>
      <c r="AA23" s="216"/>
      <c r="AB23" s="217" t="s">
        <v>709</v>
      </c>
      <c r="AC23" s="218"/>
      <c r="AD23" s="218"/>
      <c r="AE23" s="218"/>
      <c r="AF23" s="218"/>
      <c r="AG23" s="218"/>
    </row>
    <row r="24" spans="1:34">
      <c r="B24" s="219">
        <v>1</v>
      </c>
      <c r="C24" s="220"/>
      <c r="D24" s="219">
        <v>2</v>
      </c>
      <c r="E24" s="220"/>
      <c r="F24" s="219">
        <v>3</v>
      </c>
      <c r="G24" s="220"/>
      <c r="H24" s="219">
        <v>4</v>
      </c>
      <c r="I24" s="220"/>
      <c r="J24" s="219">
        <v>5</v>
      </c>
      <c r="K24" s="220"/>
      <c r="L24" s="219">
        <v>6</v>
      </c>
      <c r="M24" s="220"/>
      <c r="N24" s="219">
        <v>15</v>
      </c>
      <c r="O24" s="220"/>
      <c r="P24" s="219" t="s">
        <v>710</v>
      </c>
      <c r="Q24" s="221"/>
      <c r="R24" s="222">
        <v>7</v>
      </c>
      <c r="S24" s="223"/>
      <c r="T24" s="222">
        <v>8</v>
      </c>
      <c r="U24" s="223"/>
      <c r="V24" s="222">
        <v>9</v>
      </c>
      <c r="W24" s="223"/>
      <c r="X24" s="222">
        <v>10</v>
      </c>
      <c r="Y24" s="223"/>
      <c r="Z24" s="222" t="s">
        <v>710</v>
      </c>
      <c r="AA24" s="223"/>
      <c r="AB24" s="224">
        <v>12</v>
      </c>
      <c r="AC24" s="225"/>
      <c r="AD24" s="224">
        <v>13</v>
      </c>
      <c r="AE24" s="225"/>
      <c r="AF24" s="224" t="s">
        <v>710</v>
      </c>
      <c r="AG24" s="225"/>
    </row>
    <row r="25" spans="1:34">
      <c r="B25" s="602">
        <v>2009</v>
      </c>
      <c r="C25" s="603">
        <v>2010</v>
      </c>
      <c r="D25" s="602">
        <v>2009</v>
      </c>
      <c r="E25" s="603">
        <v>2010</v>
      </c>
      <c r="F25" s="602">
        <v>2009</v>
      </c>
      <c r="G25" s="603">
        <v>2010</v>
      </c>
      <c r="H25" s="602">
        <v>2009</v>
      </c>
      <c r="I25" s="603">
        <v>2010</v>
      </c>
      <c r="J25" s="602">
        <v>2009</v>
      </c>
      <c r="K25" s="603">
        <v>2010</v>
      </c>
      <c r="L25" s="602">
        <v>2009</v>
      </c>
      <c r="M25" s="603">
        <v>2010</v>
      </c>
      <c r="N25" s="602">
        <v>2009</v>
      </c>
      <c r="O25" s="603">
        <v>2010</v>
      </c>
      <c r="P25" s="602">
        <v>2009</v>
      </c>
      <c r="Q25" s="603">
        <v>2010</v>
      </c>
      <c r="R25" s="604">
        <v>2009</v>
      </c>
      <c r="S25" s="605">
        <v>2010</v>
      </c>
      <c r="T25" s="604">
        <v>2009</v>
      </c>
      <c r="U25" s="605">
        <v>2010</v>
      </c>
      <c r="V25" s="604">
        <v>2009</v>
      </c>
      <c r="W25" s="605">
        <v>2010</v>
      </c>
      <c r="X25" s="604">
        <v>2009</v>
      </c>
      <c r="Y25" s="605">
        <v>2010</v>
      </c>
      <c r="Z25" s="604">
        <v>2009</v>
      </c>
      <c r="AA25" s="605">
        <v>2010</v>
      </c>
      <c r="AB25" s="606">
        <v>2009</v>
      </c>
      <c r="AC25" s="607">
        <v>2010</v>
      </c>
      <c r="AD25" s="606">
        <v>2009</v>
      </c>
      <c r="AE25" s="607">
        <v>2010</v>
      </c>
      <c r="AF25" s="606">
        <v>2009</v>
      </c>
      <c r="AG25" s="607">
        <v>2010</v>
      </c>
      <c r="AH25" s="27"/>
    </row>
    <row r="26" spans="1:34">
      <c r="A26" s="226" t="s">
        <v>653</v>
      </c>
      <c r="B26" s="227">
        <f>GETPIVOTDATA("Sum of Old UG E-Learning",'Pivot Table for Fact Book'!$A$3,"State","AL","type",1,"Type2","Four-Year")</f>
        <v>48700</v>
      </c>
      <c r="C26" s="228">
        <f>GETPIVOTDATA("Sum of New UG E-Learning",'Pivot Table for Fact Book'!$A$3,"State","AL","type",1,"Type2","Four-Year")</f>
        <v>57832</v>
      </c>
      <c r="D26" s="227">
        <f>GETPIVOTDATA("Sum of Old UG E-Learning",'Pivot Table for Fact Book'!$A$3,"State","AL","type",2,"Type2","Four-Year")</f>
        <v>2124</v>
      </c>
      <c r="E26" s="228">
        <f>GETPIVOTDATA("Sum of New UG E-Learning",'Pivot Table for Fact Book'!$A$3,"State","AL","type",2,"Type2","Four-Year")</f>
        <v>1091</v>
      </c>
      <c r="F26" s="227">
        <f>GETPIVOTDATA("Sum of Old UG E-Learning",'Pivot Table for Fact Book'!$A$3,"State","AL","type",3,"Type2","Four-Year")</f>
        <v>108782</v>
      </c>
      <c r="G26" s="228">
        <f>GETPIVOTDATA("Sum of New UG E-Learning",'Pivot Table for Fact Book'!$A$3,"State","AL","type",3,"Type2","Four-Year")</f>
        <v>132909</v>
      </c>
      <c r="H26" s="227">
        <f>GETPIVOTDATA("Sum of Old UG E-Learning",'Pivot Table for Fact Book'!$A$3,"State","AL","type",4,"Type2","Four-Year")</f>
        <v>22977</v>
      </c>
      <c r="I26" s="228">
        <f>GETPIVOTDATA("Sum of New UG E-Learning",'Pivot Table for Fact Book'!$A$3,"State","AL","type",4,"Type2","Four-Year")</f>
        <v>27298</v>
      </c>
      <c r="J26" s="227">
        <f>GETPIVOTDATA("Sum of Old UG E-Learning",'Pivot Table for Fact Book'!$A$3,"State","AL","type",5,"Type2","Four-Year")</f>
        <v>3149</v>
      </c>
      <c r="K26" s="228">
        <f>GETPIVOTDATA("Sum of New UG E-Learning",'Pivot Table for Fact Book'!$A$3,"State","AL","type",5,"Type2","Four-Year")</f>
        <v>3421</v>
      </c>
      <c r="L26" s="227">
        <f>GETPIVOTDATA("Sum of Old UG E-Learning",'Pivot Table for Fact Book'!$A$3,"State","AL","type",6,"Type2","Four-Year")</f>
        <v>54671</v>
      </c>
      <c r="M26" s="228">
        <f>GETPIVOTDATA("Sum of New UG E-Learning",'Pivot Table for Fact Book'!$A$3,"State","AL","type",6,"Type2","Four-Year")</f>
        <v>58559</v>
      </c>
      <c r="N26" s="227">
        <f>GETPIVOTDATA("Sum of Old UG E-Learning",'Pivot Table for Fact Book'!$A$3,"State","AL","type",15,"Type2","Four-Year")</f>
        <v>0</v>
      </c>
      <c r="O26" s="228">
        <f>GETPIVOTDATA("Sum of New UG E-Learning",'Pivot Table for Fact Book'!$A$3,"State","AL","type",15,"Type2","Four-Year")</f>
        <v>0</v>
      </c>
      <c r="P26" s="229">
        <f>GETPIVOTDATA("Sum of Old UG E-Learning",'Pivot Table for Fact Book'!$A$3,"State","AL","Type2","Four-Year")</f>
        <v>240403</v>
      </c>
      <c r="Q26" s="229">
        <f>GETPIVOTDATA("Sum of New UG E-Learning",'Pivot Table for Fact Book'!$A$3,"State","AL","Type2","Four-Year")</f>
        <v>281110</v>
      </c>
      <c r="R26" s="227">
        <f>GETPIVOTDATA("Sum of Old UG E-Learning",'Pivot Table for Fact Book'!$A$3,"State","AL","type",7,"Type2","Two-Year")</f>
        <v>0</v>
      </c>
      <c r="S26" s="230">
        <f>GETPIVOTDATA("Sum of New UG E-Learning",'Pivot Table for Fact Book'!$A$3,"State","AL","type",7,"Type2","Two-Year")</f>
        <v>0</v>
      </c>
      <c r="T26" s="230">
        <f>GETPIVOTDATA("Sum of Old UG E-Learning",'Pivot Table for Fact Book'!$A$3,"State","AL","type",8,"Type2","Two-Year")</f>
        <v>46530</v>
      </c>
      <c r="U26" s="230">
        <f>GETPIVOTDATA("Sum of New UG E-Learning",'Pivot Table for Fact Book'!$A$3,"State","AL","type",8,"Type2","Two-Year")</f>
        <v>56646</v>
      </c>
      <c r="V26" s="230">
        <f>GETPIVOTDATA("Sum of Old UG E-Learning",'Pivot Table for Fact Book'!$A$3,"State","AL","type",9,"Type2","Two-Year")</f>
        <v>117765</v>
      </c>
      <c r="W26" s="230">
        <f>GETPIVOTDATA("Sum of New UG E-Learning",'Pivot Table for Fact Book'!$A$3,"State","AL","type",9,"Type2","Two-Year")</f>
        <v>145522</v>
      </c>
      <c r="X26" s="230">
        <f>GETPIVOTDATA("Sum of Old UG E-Learning",'Pivot Table for Fact Book'!$A$3,"State","AL","type",10,"Type2","Two-Year")</f>
        <v>75449</v>
      </c>
      <c r="Y26" s="230">
        <f>GETPIVOTDATA("Sum of New UG E-Learning",'Pivot Table for Fact Book'!$A$3,"State","AL","type",10,"Type2","Two-Year")</f>
        <v>90044</v>
      </c>
      <c r="Z26" s="231">
        <f>GETPIVOTDATA("Sum of Old UG E-Learning",'Pivot Table for Fact Book'!$A$3,"State","AL","Type2","Two-Year")</f>
        <v>239744</v>
      </c>
      <c r="AA26" s="231">
        <f>GETPIVOTDATA("Sum of New UG E-Learning",'Pivot Table for Fact Book'!$A$3,"State","AL","Type2","Two-Year")</f>
        <v>292212</v>
      </c>
      <c r="AB26" s="227">
        <f>GETPIVOTDATA("Sum of Old UG E-Learning",'Pivot Table for Fact Book'!$A$3,"State","AL","type",12,"Type2","Technical")</f>
        <v>3120</v>
      </c>
      <c r="AC26" s="230">
        <f>GETPIVOTDATA("Sum of New UG E-Learning",'Pivot Table for Fact Book'!$A$3,"State","AL","type",12,"Type2","Technical")</f>
        <v>4551</v>
      </c>
      <c r="AD26" s="230">
        <f>GETPIVOTDATA("Sum of Old UG E-Learning",'Pivot Table for Fact Book'!$A$3,"State","AL","type",13,"Type2","Technical")</f>
        <v>0</v>
      </c>
      <c r="AE26" s="230">
        <f>GETPIVOTDATA("Sum of New UG E-Learning",'Pivot Table for Fact Book'!$A$3,"State","AL","type",13,"Type2","Technical")</f>
        <v>0</v>
      </c>
      <c r="AF26" s="233">
        <f>GETPIVOTDATA("Sum of Old UG E-Learning",'Pivot Table for Fact Book'!$A$3,"State","AL","Type2","Technical")</f>
        <v>3120</v>
      </c>
      <c r="AG26" s="233">
        <f>GETPIVOTDATA("Sum of New UG E-Learning",'Pivot Table for Fact Book'!$A$3,"State","AL","Type2","Technical")</f>
        <v>4551</v>
      </c>
      <c r="AH26" s="27"/>
    </row>
    <row r="27" spans="1:34">
      <c r="A27" s="226" t="s">
        <v>654</v>
      </c>
      <c r="B27" s="227">
        <f>GETPIVOTDATA("Sum of Old UG E-Learning",'Pivot Table for Fact Book'!$A$3,"State","AR","type",1,"Type2","Four-Year")</f>
        <v>7936</v>
      </c>
      <c r="C27" s="228">
        <f>GETPIVOTDATA("Sum of New UG E-Learning",'Pivot Table for Fact Book'!$A$3,"State","AR","type",1,"Type2","Four-Year")</f>
        <v>9164</v>
      </c>
      <c r="D27" s="227">
        <f>GETPIVOTDATA("Sum of Old UG E-Learning",'Pivot Table for Fact Book'!$A$3,"State","AR","type",2,"Type2","Four-Year")</f>
        <v>0</v>
      </c>
      <c r="E27" s="228">
        <f>GETPIVOTDATA("Sum of New UG E-Learning",'Pivot Table for Fact Book'!$A$3,"State","AR","type",2,"Type2","Four-Year")</f>
        <v>0</v>
      </c>
      <c r="F27" s="227">
        <f>GETPIVOTDATA("Sum of Old UG E-Learning",'Pivot Table for Fact Book'!$A$3,"State","AR","type",3,"Type2","Four-Year")</f>
        <v>83012</v>
      </c>
      <c r="G27" s="228">
        <f>GETPIVOTDATA("Sum of New UG E-Learning",'Pivot Table for Fact Book'!$A$3,"State","AR","type",3,"Type2","Four-Year")</f>
        <v>105437</v>
      </c>
      <c r="H27" s="227">
        <f>GETPIVOTDATA("Sum of Old UG E-Learning",'Pivot Table for Fact Book'!$A$3,"State","AR","type",4,"Type2","Four-Year")</f>
        <v>26769</v>
      </c>
      <c r="I27" s="228">
        <f>GETPIVOTDATA("Sum of New UG E-Learning",'Pivot Table for Fact Book'!$A$3,"State","AR","type",4,"Type2","Four-Year")</f>
        <v>30996</v>
      </c>
      <c r="J27" s="227">
        <f>GETPIVOTDATA("Sum of Old UG E-Learning",'Pivot Table for Fact Book'!$A$3,"State","AR","type",5,"Type2","Four-Year")</f>
        <v>13726</v>
      </c>
      <c r="K27" s="228">
        <f>GETPIVOTDATA("Sum of New UG E-Learning",'Pivot Table for Fact Book'!$A$3,"State","AR","type",5,"Type2","Four-Year")</f>
        <v>15504</v>
      </c>
      <c r="L27" s="227">
        <f>GETPIVOTDATA("Sum of Old UG E-Learning",'Pivot Table for Fact Book'!$A$3,"State","AR","type",6,"Type2","Four-Year")</f>
        <v>24465</v>
      </c>
      <c r="M27" s="228">
        <f>GETPIVOTDATA("Sum of New UG E-Learning",'Pivot Table for Fact Book'!$A$3,"State","AR","type",6,"Type2","Four-Year")</f>
        <v>30171</v>
      </c>
      <c r="N27" s="227">
        <f>GETPIVOTDATA("Sum of Old UG E-Learning",'Pivot Table for Fact Book'!$A$3,"State","AR","type",15,"Type2","Four-Year")</f>
        <v>0</v>
      </c>
      <c r="O27" s="228">
        <f>GETPIVOTDATA("Sum of New UG E-Learning",'Pivot Table for Fact Book'!$A$3,"State","AR","type",15,"Type2","Four-Year")</f>
        <v>0</v>
      </c>
      <c r="P27" s="229">
        <f>GETPIVOTDATA("Sum of Old UG E-Learning",'Pivot Table for Fact Book'!$A$3,"State","AR","Type2","Four-Year")</f>
        <v>155908</v>
      </c>
      <c r="Q27" s="229">
        <f>GETPIVOTDATA("Sum of New UG E-Learning",'Pivot Table for Fact Book'!$A$3,"State","AR","Type2","Four-Year")</f>
        <v>191272</v>
      </c>
      <c r="R27" s="227">
        <f>GETPIVOTDATA("Sum of Old UG E-Learning",'Pivot Table for Fact Book'!$A$3,"State","AR","type",7,"Type2","Two-Year")</f>
        <v>0</v>
      </c>
      <c r="S27" s="230">
        <f>GETPIVOTDATA("Sum of New UG E-Learning",'Pivot Table for Fact Book'!$A$3,"State","AR","type",7,"Type2","Two-Year")</f>
        <v>0</v>
      </c>
      <c r="T27" s="230">
        <f>GETPIVOTDATA("Sum of Old UG E-Learning",'Pivot Table for Fact Book'!$A$3,"State","AR","type",8,"Type2","Two-Year")</f>
        <v>52543</v>
      </c>
      <c r="U27" s="230">
        <f>GETPIVOTDATA("Sum of New UG E-Learning",'Pivot Table for Fact Book'!$A$3,"State","AR","type",8,"Type2","Two-Year")</f>
        <v>62285</v>
      </c>
      <c r="V27" s="230">
        <f>GETPIVOTDATA("Sum of Old UG E-Learning",'Pivot Table for Fact Book'!$A$3,"State","AR","type",9,"Type2","Two-Year")</f>
        <v>42886</v>
      </c>
      <c r="W27" s="230">
        <f>GETPIVOTDATA("Sum of New UG E-Learning",'Pivot Table for Fact Book'!$A$3,"State","AR","type",9,"Type2","Two-Year")</f>
        <v>50067</v>
      </c>
      <c r="X27" s="230">
        <f>GETPIVOTDATA("Sum of Old UG E-Learning",'Pivot Table for Fact Book'!$A$3,"State","AR","type",10,"Type2","Two-Year")</f>
        <v>99159</v>
      </c>
      <c r="Y27" s="230">
        <f>GETPIVOTDATA("Sum of New UG E-Learning",'Pivot Table for Fact Book'!$A$3,"State","AR","type",10,"Type2","Two-Year")</f>
        <v>113269</v>
      </c>
      <c r="Z27" s="231">
        <f>GETPIVOTDATA("Sum of Old UG E-Learning",'Pivot Table for Fact Book'!$A$3,"State","AR","Type2","Two-Year")</f>
        <v>194588</v>
      </c>
      <c r="AA27" s="231">
        <f>GETPIVOTDATA("Sum of New UG E-Learning",'Pivot Table for Fact Book'!$A$3,"State","AR","Type2","Two-Year")</f>
        <v>225621</v>
      </c>
      <c r="AB27" s="227">
        <f>GETPIVOTDATA("Sum of Old UG E-Learning",'Pivot Table for Fact Book'!$A$3,"State","AR","type",12,"Type2","Technical")</f>
        <v>0</v>
      </c>
      <c r="AC27" s="230">
        <f>GETPIVOTDATA("Sum of New UG E-Learning",'Pivot Table for Fact Book'!$A$3,"State","AR","type",12,"Type2","Technical")</f>
        <v>0</v>
      </c>
      <c r="AD27" s="230">
        <f>GETPIVOTDATA("Sum of Old UG E-Learning",'Pivot Table for Fact Book'!$A$3,"State","AR","type",13,"Type2","Technical")</f>
        <v>0</v>
      </c>
      <c r="AE27" s="230">
        <f>GETPIVOTDATA("Sum of New UG E-Learning",'Pivot Table for Fact Book'!$A$3,"State","AR","type",13,"Type2","Technical")</f>
        <v>0</v>
      </c>
      <c r="AF27" s="233">
        <f>GETPIVOTDATA("Sum of Old UG E-Learning",'Pivot Table for Fact Book'!$A$3,"State","AR","Type2","Technical")</f>
        <v>0</v>
      </c>
      <c r="AG27" s="233">
        <f>GETPIVOTDATA("Sum of New UG E-Learning",'Pivot Table for Fact Book'!$A$3,"State","AR","Type2","Technical")</f>
        <v>0</v>
      </c>
      <c r="AH27" s="27"/>
    </row>
    <row r="28" spans="1:34">
      <c r="A28" s="226" t="s">
        <v>655</v>
      </c>
      <c r="B28" s="227">
        <f>GETPIVOTDATA("Sum of Old UG E-Learning",'Pivot Table for Fact Book'!$A$3,"State","DE","type",1,"Type2","Four-Year")</f>
        <v>24051</v>
      </c>
      <c r="C28" s="228">
        <f>GETPIVOTDATA("Sum of New UG E-Learning",'Pivot Table for Fact Book'!$A$3,"State","DE","type",1,"Type2","Four-Year")</f>
        <v>20685</v>
      </c>
      <c r="D28" s="227">
        <f>GETPIVOTDATA("Sum of Old UG E-Learning",'Pivot Table for Fact Book'!$A$3,"State","DE","type",2,"Type2","Four-Year")</f>
        <v>0</v>
      </c>
      <c r="E28" s="228">
        <f>GETPIVOTDATA("Sum of New UG E-Learning",'Pivot Table for Fact Book'!$A$3,"State","DE","type",2,"Type2","Four-Year")</f>
        <v>0</v>
      </c>
      <c r="F28" s="227">
        <f>GETPIVOTDATA("Sum of Old UG E-Learning",'Pivot Table for Fact Book'!$A$3,"State","DE","type",3,"Type2","Four-Year")</f>
        <v>0</v>
      </c>
      <c r="G28" s="228">
        <f>GETPIVOTDATA("Sum of New UG E-Learning",'Pivot Table for Fact Book'!$A$3,"State","DE","type",3,"Type2","Four-Year")</f>
        <v>0</v>
      </c>
      <c r="H28" s="227">
        <f>GETPIVOTDATA("Sum of Old UG E-Learning",'Pivot Table for Fact Book'!$A$3,"State","DE","type",4,"Type2","Four-Year")</f>
        <v>525</v>
      </c>
      <c r="I28" s="228">
        <f>GETPIVOTDATA("Sum of New UG E-Learning",'Pivot Table for Fact Book'!$A$3,"State","DE","type",4,"Type2","Four-Year")</f>
        <v>572</v>
      </c>
      <c r="J28" s="227">
        <f>GETPIVOTDATA("Sum of Old UG E-Learning",'Pivot Table for Fact Book'!$A$3,"State","DE","type",5,"Type2","Four-Year")</f>
        <v>0</v>
      </c>
      <c r="K28" s="228">
        <f>GETPIVOTDATA("Sum of New UG E-Learning",'Pivot Table for Fact Book'!$A$3,"State","DE","type",5,"Type2","Four-Year")</f>
        <v>0</v>
      </c>
      <c r="L28" s="227">
        <f>GETPIVOTDATA("Sum of Old UG E-Learning",'Pivot Table for Fact Book'!$A$3,"State","DE","type",6,"Type2","Four-Year")</f>
        <v>0</v>
      </c>
      <c r="M28" s="228">
        <f>GETPIVOTDATA("Sum of New UG E-Learning",'Pivot Table for Fact Book'!$A$3,"State","DE","type",6,"Type2","Four-Year")</f>
        <v>0</v>
      </c>
      <c r="N28" s="227">
        <f>GETPIVOTDATA("Sum of Old UG E-Learning",'Pivot Table for Fact Book'!$A$3,"State","DE","type",15,"Type2","Four-Year")</f>
        <v>0</v>
      </c>
      <c r="O28" s="228">
        <f>GETPIVOTDATA("Sum of New UG E-Learning",'Pivot Table for Fact Book'!$A$3,"State","DE","type",15,"Type2","Four-Year")</f>
        <v>0</v>
      </c>
      <c r="P28" s="229">
        <f>GETPIVOTDATA("Sum of Old UG E-Learning",'Pivot Table for Fact Book'!$A$3,"State","DE","Type2","Four-Year")</f>
        <v>24576</v>
      </c>
      <c r="Q28" s="229">
        <f>GETPIVOTDATA("Sum of New UG E-Learning",'Pivot Table for Fact Book'!$A$3,"State","DE","Type2","Four-Year")</f>
        <v>21257</v>
      </c>
      <c r="R28" s="227">
        <f>GETPIVOTDATA("Sum of Old UG E-Learning",'Pivot Table for Fact Book'!$A$3,"State","DE","type",7,"Type2","Two-Year")</f>
        <v>0</v>
      </c>
      <c r="S28" s="230">
        <f>GETPIVOTDATA("Sum of New UG E-Learning",'Pivot Table for Fact Book'!$A$3,"State","DE","type",7,"Type2","Two-Year")</f>
        <v>0</v>
      </c>
      <c r="T28" s="230">
        <f>GETPIVOTDATA("Sum of Old UG E-Learning",'Pivot Table for Fact Book'!$A$3,"State","DE","type",8,"Type2","Two-Year")</f>
        <v>0</v>
      </c>
      <c r="U28" s="230">
        <f>GETPIVOTDATA("Sum of New UG E-Learning",'Pivot Table for Fact Book'!$A$3,"State","DE","type",8,"Type2","Two-Year")</f>
        <v>0</v>
      </c>
      <c r="V28" s="230">
        <f>GETPIVOTDATA("Sum of Old UG E-Learning",'Pivot Table for Fact Book'!$A$3,"State","DE","type",9,"Type2","Two-Year")</f>
        <v>25619</v>
      </c>
      <c r="W28" s="230">
        <f>GETPIVOTDATA("Sum of New UG E-Learning",'Pivot Table for Fact Book'!$A$3,"State","DE","type",9,"Type2","Two-Year")</f>
        <v>31970</v>
      </c>
      <c r="X28" s="230">
        <f>GETPIVOTDATA("Sum of Old UG E-Learning",'Pivot Table for Fact Book'!$A$3,"State","DE","type",10,"Type2","Two-Year")</f>
        <v>10319</v>
      </c>
      <c r="Y28" s="230">
        <f>GETPIVOTDATA("Sum of New UG E-Learning",'Pivot Table for Fact Book'!$A$3,"State","DE","type",10,"Type2","Two-Year")</f>
        <v>11841</v>
      </c>
      <c r="Z28" s="231">
        <f>GETPIVOTDATA("Sum of Old UG E-Learning",'Pivot Table for Fact Book'!$A$3,"State","DE","Type2","Two-Year")</f>
        <v>35938</v>
      </c>
      <c r="AA28" s="231">
        <f>GETPIVOTDATA("Sum of New UG E-Learning",'Pivot Table for Fact Book'!$A$3,"State","DE","Type2","Two-Year")</f>
        <v>43811</v>
      </c>
      <c r="AB28" s="227">
        <f>GETPIVOTDATA("Sum of Old UG E-Learning",'Pivot Table for Fact Book'!$A$3,"State","DE","type",12,"Type2","Technical")</f>
        <v>0</v>
      </c>
      <c r="AC28" s="230">
        <f>GETPIVOTDATA("Sum of New UG E-Learning",'Pivot Table for Fact Book'!$A$3,"State","DE","type",12,"Type2","Technical")</f>
        <v>0</v>
      </c>
      <c r="AD28" s="230">
        <f>GETPIVOTDATA("Sum of Old UG E-Learning",'Pivot Table for Fact Book'!$A$3,"State","DE","type",13,"Type2","Technical")</f>
        <v>0</v>
      </c>
      <c r="AE28" s="230">
        <f>GETPIVOTDATA("Sum of New UG E-Learning",'Pivot Table for Fact Book'!$A$3,"State","DE","type",13,"Type2","Technical")</f>
        <v>0</v>
      </c>
      <c r="AF28" s="233">
        <f>GETPIVOTDATA("Sum of Old UG E-Learning",'Pivot Table for Fact Book'!$A$3,"State","DE","Type2","Technical")</f>
        <v>0</v>
      </c>
      <c r="AG28" s="233">
        <f>GETPIVOTDATA("Sum of New UG E-Learning",'Pivot Table for Fact Book'!$A$3,"State","DE","Type2","Technical")</f>
        <v>0</v>
      </c>
      <c r="AH28" s="27"/>
    </row>
    <row r="29" spans="1:34">
      <c r="A29" s="226" t="s">
        <v>656</v>
      </c>
      <c r="B29" s="227">
        <f>GETPIVOTDATA("Sum of Old UG E-Learning",'Pivot Table for Fact Book'!$A$3,"State","FL","type",1,"Type2","Four-Year")</f>
        <v>806818</v>
      </c>
      <c r="C29" s="228">
        <f>GETPIVOTDATA("Sum of New UG E-Learning",'Pivot Table for Fact Book'!$A$3,"State","FL","type",1,"Type2","Four-Year")</f>
        <v>946302</v>
      </c>
      <c r="D29" s="227">
        <f>GETPIVOTDATA("Sum of Old UG E-Learning",'Pivot Table for Fact Book'!$A$3,"State","FL","type",2,"Type2","Four-Year")</f>
        <v>33875</v>
      </c>
      <c r="E29" s="228">
        <f>GETPIVOTDATA("Sum of New UG E-Learning",'Pivot Table for Fact Book'!$A$3,"State","FL","type",2,"Type2","Four-Year")</f>
        <v>33035</v>
      </c>
      <c r="F29" s="227">
        <f>GETPIVOTDATA("Sum of Old UG E-Learning",'Pivot Table for Fact Book'!$A$3,"State","FL","type",3,"Type2","Four-Year")</f>
        <v>87887</v>
      </c>
      <c r="G29" s="228">
        <f>GETPIVOTDATA("Sum of New UG E-Learning",'Pivot Table for Fact Book'!$A$3,"State","FL","type",3,"Type2","Four-Year")</f>
        <v>94745</v>
      </c>
      <c r="H29" s="227">
        <f>GETPIVOTDATA("Sum of Old UG E-Learning",'Pivot Table for Fact Book'!$A$3,"State","FL","type",4,"Type2","Four-Year")</f>
        <v>37877</v>
      </c>
      <c r="I29" s="228">
        <f>GETPIVOTDATA("Sum of New UG E-Learning",'Pivot Table for Fact Book'!$A$3,"State","FL","type",4,"Type2","Four-Year")</f>
        <v>43351</v>
      </c>
      <c r="J29" s="227">
        <f>GETPIVOTDATA("Sum of Old UG E-Learning",'Pivot Table for Fact Book'!$A$3,"State","FL","type",5,"Type2","Four-Year")</f>
        <v>0</v>
      </c>
      <c r="K29" s="228">
        <f>GETPIVOTDATA("Sum of New UG E-Learning",'Pivot Table for Fact Book'!$A$3,"State","FL","type",5,"Type2","Four-Year")</f>
        <v>0</v>
      </c>
      <c r="L29" s="227">
        <f>GETPIVOTDATA("Sum of Old UG E-Learning",'Pivot Table for Fact Book'!$A$3,"State","FL","type",6,"Type2","Four-Year")</f>
        <v>0</v>
      </c>
      <c r="M29" s="228">
        <f>GETPIVOTDATA("Sum of New UG E-Learning",'Pivot Table for Fact Book'!$A$3,"State","FL","type",6,"Type2","Four-Year")</f>
        <v>0</v>
      </c>
      <c r="N29" s="227">
        <f>GETPIVOTDATA("Sum of Old UG E-Learning",'Pivot Table for Fact Book'!$A$3,"State","FL","type",15,"Type2","Four-Year")</f>
        <v>0</v>
      </c>
      <c r="O29" s="228">
        <f>GETPIVOTDATA("Sum of New UG E-Learning",'Pivot Table for Fact Book'!$A$3,"State","FL","type",15,"Type2","Four-Year")</f>
        <v>0</v>
      </c>
      <c r="P29" s="229">
        <f>GETPIVOTDATA("Sum of Old UG E-Learning",'Pivot Table for Fact Book'!$A$3,"State","FL","Type2","Four-Year")</f>
        <v>966457</v>
      </c>
      <c r="Q29" s="229">
        <f>GETPIVOTDATA("Sum of New UG E-Learning",'Pivot Table for Fact Book'!$A$3,"State","FL","Type2","Four-Year")</f>
        <v>1117433</v>
      </c>
      <c r="R29" s="227">
        <f>GETPIVOTDATA("Sum of Old UG E-Learning",'Pivot Table for Fact Book'!$A$3,"State","FL","type",7,"Type2","Two-Year")</f>
        <v>341220</v>
      </c>
      <c r="S29" s="230">
        <f>GETPIVOTDATA("Sum of New UG E-Learning",'Pivot Table for Fact Book'!$A$3,"State","FL","type",7,"Type2","Two-Year")</f>
        <v>451209</v>
      </c>
      <c r="T29" s="230">
        <f>GETPIVOTDATA("Sum of Old UG E-Learning",'Pivot Table for Fact Book'!$A$3,"State","FL","type",8,"Type2","Two-Year")</f>
        <v>860123</v>
      </c>
      <c r="U29" s="230">
        <f>GETPIVOTDATA("Sum of New UG E-Learning",'Pivot Table for Fact Book'!$A$3,"State","FL","type",8,"Type2","Two-Year")</f>
        <v>1069558</v>
      </c>
      <c r="V29" s="230">
        <f>GETPIVOTDATA("Sum of Old UG E-Learning",'Pivot Table for Fact Book'!$A$3,"State","FL","type",9,"Type2","Two-Year")</f>
        <v>108213</v>
      </c>
      <c r="W29" s="230">
        <f>GETPIVOTDATA("Sum of New UG E-Learning",'Pivot Table for Fact Book'!$A$3,"State","FL","type",9,"Type2","Two-Year")</f>
        <v>129138</v>
      </c>
      <c r="X29" s="230">
        <f>GETPIVOTDATA("Sum of Old UG E-Learning",'Pivot Table for Fact Book'!$A$3,"State","FL","type",10,"Type2","Two-Year")</f>
        <v>11581</v>
      </c>
      <c r="Y29" s="230">
        <f>GETPIVOTDATA("Sum of New UG E-Learning",'Pivot Table for Fact Book'!$A$3,"State","FL","type",10,"Type2","Two-Year")</f>
        <v>10732</v>
      </c>
      <c r="Z29" s="231">
        <f>GETPIVOTDATA("Sum of Old UG E-Learning",'Pivot Table for Fact Book'!$A$3,"State","FL","Type2","Two-Year")</f>
        <v>1321137</v>
      </c>
      <c r="AA29" s="231">
        <f>GETPIVOTDATA("Sum of New UG E-Learning",'Pivot Table for Fact Book'!$A$3,"State","FL","Type2","Two-Year")</f>
        <v>1660637</v>
      </c>
      <c r="AB29" s="227">
        <f>GETPIVOTDATA("Sum of Old UG E-Learning",'Pivot Table for Fact Book'!$A$3,"State","FL","type",12,"Type2","Technical")</f>
        <v>0</v>
      </c>
      <c r="AC29" s="230">
        <f>GETPIVOTDATA("Sum of New UG E-Learning",'Pivot Table for Fact Book'!$A$3,"State","FL","type",12,"Type2","Technical")</f>
        <v>0</v>
      </c>
      <c r="AD29" s="230">
        <f>GETPIVOTDATA("Sum of Old UG E-Learning",'Pivot Table for Fact Book'!$A$3,"State","FL","type",13,"Type2","Technical")</f>
        <v>0</v>
      </c>
      <c r="AE29" s="230">
        <f>GETPIVOTDATA("Sum of New UG E-Learning",'Pivot Table for Fact Book'!$A$3,"State","FL","type",13,"Type2","Technical")</f>
        <v>0</v>
      </c>
      <c r="AF29" s="233">
        <f>GETPIVOTDATA("Sum of Old UG E-Learning",'Pivot Table for Fact Book'!$A$3,"State","FL","Type2","Technical")</f>
        <v>0</v>
      </c>
      <c r="AG29" s="233">
        <f>GETPIVOTDATA("Sum of New UG E-Learning",'Pivot Table for Fact Book'!$A$3,"State","FL","Type2","Technical")</f>
        <v>0</v>
      </c>
      <c r="AH29" s="27"/>
    </row>
    <row r="30" spans="1:34">
      <c r="A30" s="226" t="s">
        <v>657</v>
      </c>
      <c r="B30" s="227">
        <f>GETPIVOTDATA("Sum of Old UG E-Learning",'Pivot Table for Fact Book'!$A$3,"State","GA","type",1,"Type2","Four-Year")</f>
        <v>0</v>
      </c>
      <c r="C30" s="228">
        <f>GETPIVOTDATA("Sum of New UG E-Learning",'Pivot Table for Fact Book'!$A$3,"State","GA","type",1,"Type2","Four-Year")</f>
        <v>0</v>
      </c>
      <c r="D30" s="227">
        <f>GETPIVOTDATA("Sum of Old UG E-Learning",'Pivot Table for Fact Book'!$A$3,"State","GA","type",2,"Type2","Four-Year")</f>
        <v>0</v>
      </c>
      <c r="E30" s="228">
        <f>GETPIVOTDATA("Sum of New UG E-Learning",'Pivot Table for Fact Book'!$A$3,"State","GA","type",2,"Type2","Four-Year")</f>
        <v>0</v>
      </c>
      <c r="F30" s="227">
        <f>GETPIVOTDATA("Sum of Old UG E-Learning",'Pivot Table for Fact Book'!$A$3,"State","GA","type",3,"Type2","Four-Year")</f>
        <v>0</v>
      </c>
      <c r="G30" s="228">
        <f>GETPIVOTDATA("Sum of New UG E-Learning",'Pivot Table for Fact Book'!$A$3,"State","GA","type",3,"Type2","Four-Year")</f>
        <v>0</v>
      </c>
      <c r="H30" s="227">
        <f>GETPIVOTDATA("Sum of Old UG E-Learning",'Pivot Table for Fact Book'!$A$3,"State","GA","type",4,"Type2","Four-Year")</f>
        <v>0</v>
      </c>
      <c r="I30" s="228">
        <f>GETPIVOTDATA("Sum of New UG E-Learning",'Pivot Table for Fact Book'!$A$3,"State","GA","type",4,"Type2","Four-Year")</f>
        <v>0</v>
      </c>
      <c r="J30" s="227">
        <f>GETPIVOTDATA("Sum of Old UG E-Learning",'Pivot Table for Fact Book'!$A$3,"State","GA","type",5,"Type2","Four-Year")</f>
        <v>0</v>
      </c>
      <c r="K30" s="228">
        <f>GETPIVOTDATA("Sum of New UG E-Learning",'Pivot Table for Fact Book'!$A$3,"State","GA","type",5,"Type2","Four-Year")</f>
        <v>0</v>
      </c>
      <c r="L30" s="227">
        <f>GETPIVOTDATA("Sum of Old UG E-Learning",'Pivot Table for Fact Book'!$A$3,"State","GA","type",6,"Type2","Four-Year")</f>
        <v>0</v>
      </c>
      <c r="M30" s="228">
        <f>GETPIVOTDATA("Sum of New UG E-Learning",'Pivot Table for Fact Book'!$A$3,"State","GA","type",6,"Type2","Four-Year")</f>
        <v>0</v>
      </c>
      <c r="N30" s="227">
        <f>GETPIVOTDATA("Sum of Old UG E-Learning",'Pivot Table for Fact Book'!$A$3,"State","GA","type",15,"Type2","Four-Year")</f>
        <v>0</v>
      </c>
      <c r="O30" s="228">
        <f>GETPIVOTDATA("Sum of New UG E-Learning",'Pivot Table for Fact Book'!$A$3,"State","GA","type",15,"Type2","Four-Year")</f>
        <v>0</v>
      </c>
      <c r="P30" s="229">
        <f>GETPIVOTDATA("Sum of Old UG E-Learning",'Pivot Table for Fact Book'!$A$3,"State","GA","Type2","Four-Year")</f>
        <v>0</v>
      </c>
      <c r="Q30" s="229">
        <f>GETPIVOTDATA("Sum of New UG E-Learning",'Pivot Table for Fact Book'!$A$3,"State","GA","Type2","Four-Year")</f>
        <v>0</v>
      </c>
      <c r="R30" s="227">
        <f>GETPIVOTDATA("Sum of Old UG E-Learning",'Pivot Table for Fact Book'!$A$3,"State","GA","type",7,"Type2","Two-Year")</f>
        <v>0</v>
      </c>
      <c r="S30" s="230">
        <f>GETPIVOTDATA("Sum of New UG E-Learning",'Pivot Table for Fact Book'!$A$3,"State","GA","type",7,"Type2","Two-Year")</f>
        <v>0</v>
      </c>
      <c r="T30" s="230">
        <f>GETPIVOTDATA("Sum of Old UG E-Learning",'Pivot Table for Fact Book'!$A$3,"State","GA","type",8,"Type2","Two-Year")</f>
        <v>0</v>
      </c>
      <c r="U30" s="230">
        <f>GETPIVOTDATA("Sum of New UG E-Learning",'Pivot Table for Fact Book'!$A$3,"State","GA","type",8,"Type2","Two-Year")</f>
        <v>0</v>
      </c>
      <c r="V30" s="230">
        <f>GETPIVOTDATA("Sum of Old UG E-Learning",'Pivot Table for Fact Book'!$A$3,"State","GA","type",9,"Type2","Two-Year")</f>
        <v>0</v>
      </c>
      <c r="W30" s="230">
        <f>GETPIVOTDATA("Sum of New UG E-Learning",'Pivot Table for Fact Book'!$A$3,"State","GA","type",9,"Type2","Two-Year")</f>
        <v>0</v>
      </c>
      <c r="X30" s="230">
        <f>GETPIVOTDATA("Sum of Old UG E-Learning",'Pivot Table for Fact Book'!$A$3,"State","GA","type",10,"Type2","Two-Year")</f>
        <v>0</v>
      </c>
      <c r="Y30" s="230">
        <f>GETPIVOTDATA("Sum of New UG E-Learning",'Pivot Table for Fact Book'!$A$3,"State","GA","type",10,"Type2","Two-Year")</f>
        <v>0</v>
      </c>
      <c r="Z30" s="231">
        <f>GETPIVOTDATA("Sum of Old UG E-Learning",'Pivot Table for Fact Book'!$A$3,"State","GA","Type2","Two-Year")</f>
        <v>0</v>
      </c>
      <c r="AA30" s="231">
        <f>GETPIVOTDATA("Sum of New UG E-Learning",'Pivot Table for Fact Book'!$A$3,"State","GA","Type2","Two-Year")</f>
        <v>0</v>
      </c>
      <c r="AB30" s="227">
        <f>GETPIVOTDATA("Sum of Old UG E-Learning",'Pivot Table for Fact Book'!$A$3,"State","GA","type",12,"Type2","Technical")</f>
        <v>837630</v>
      </c>
      <c r="AC30" s="230">
        <f>GETPIVOTDATA("Sum of New UG E-Learning",'Pivot Table for Fact Book'!$A$3,"State","GA","type",12,"Type2","Technical")</f>
        <v>686308</v>
      </c>
      <c r="AD30" s="230">
        <f>GETPIVOTDATA("Sum of Old UG E-Learning",'Pivot Table for Fact Book'!$A$3,"State","GA","type",13,"Type2","Technical")</f>
        <v>9802</v>
      </c>
      <c r="AE30" s="230">
        <f>GETPIVOTDATA("Sum of New UG E-Learning",'Pivot Table for Fact Book'!$A$3,"State","GA","type",13,"Type2","Technical")</f>
        <v>9750</v>
      </c>
      <c r="AF30" s="233">
        <f>GETPIVOTDATA("Sum of Old UG E-Learning",'Pivot Table for Fact Book'!$A$3,"State","GA","Type2","Technical")</f>
        <v>847432</v>
      </c>
      <c r="AG30" s="233">
        <f>GETPIVOTDATA("Sum of New UG E-Learning",'Pivot Table for Fact Book'!$A$3,"State","GA","Type2","Technical")</f>
        <v>696058</v>
      </c>
      <c r="AH30" s="27"/>
    </row>
    <row r="31" spans="1:34">
      <c r="A31" s="226" t="s">
        <v>658</v>
      </c>
      <c r="B31" s="227">
        <f>GETPIVOTDATA("Sum of Old UG E-Learning",'Pivot Table for Fact Book'!$A$3,"State","KY","type",1,"Type2","Four-Year")</f>
        <v>31252</v>
      </c>
      <c r="C31" s="228">
        <f>GETPIVOTDATA("Sum of New UG E-Learning",'Pivot Table for Fact Book'!$A$3,"State","KY","type",1,"Type2","Four-Year")</f>
        <v>29002</v>
      </c>
      <c r="D31" s="227">
        <f>GETPIVOTDATA("Sum of Old UG E-Learning",'Pivot Table for Fact Book'!$A$3,"State","KY","type",2,"Type2","Four-Year")</f>
        <v>0</v>
      </c>
      <c r="E31" s="228">
        <f>GETPIVOTDATA("Sum of New UG E-Learning",'Pivot Table for Fact Book'!$A$3,"State","KY","type",2,"Type2","Four-Year")</f>
        <v>0</v>
      </c>
      <c r="F31" s="227">
        <f>GETPIVOTDATA("Sum of Old UG E-Learning",'Pivot Table for Fact Book'!$A$3,"State","KY","type",3,"Type2","Four-Year")</f>
        <v>98197</v>
      </c>
      <c r="G31" s="228">
        <f>GETPIVOTDATA("Sum of New UG E-Learning",'Pivot Table for Fact Book'!$A$3,"State","KY","type",3,"Type2","Four-Year")</f>
        <v>120840</v>
      </c>
      <c r="H31" s="227">
        <f>GETPIVOTDATA("Sum of Old UG E-Learning",'Pivot Table for Fact Book'!$A$3,"State","KY","type",4,"Type2","Four-Year")</f>
        <v>48098</v>
      </c>
      <c r="I31" s="228">
        <f>GETPIVOTDATA("Sum of New UG E-Learning",'Pivot Table for Fact Book'!$A$3,"State","KY","type",4,"Type2","Four-Year")</f>
        <v>62237</v>
      </c>
      <c r="J31" s="227">
        <f>GETPIVOTDATA("Sum of Old UG E-Learning",'Pivot Table for Fact Book'!$A$3,"State","KY","type",5,"Type2","Four-Year")</f>
        <v>6691</v>
      </c>
      <c r="K31" s="228">
        <f>GETPIVOTDATA("Sum of New UG E-Learning",'Pivot Table for Fact Book'!$A$3,"State","KY","type",5,"Type2","Four-Year")</f>
        <v>6868</v>
      </c>
      <c r="L31" s="227">
        <f>GETPIVOTDATA("Sum of Old UG E-Learning",'Pivot Table for Fact Book'!$A$3,"State","KY","type",6,"Type2","Four-Year")</f>
        <v>0</v>
      </c>
      <c r="M31" s="228">
        <f>GETPIVOTDATA("Sum of New UG E-Learning",'Pivot Table for Fact Book'!$A$3,"State","KY","type",6,"Type2","Four-Year")</f>
        <v>0</v>
      </c>
      <c r="N31" s="227">
        <f>GETPIVOTDATA("Sum of Old UG E-Learning",'Pivot Table for Fact Book'!$A$3,"State","KY","type",15,"Type2","Four-Year")</f>
        <v>0</v>
      </c>
      <c r="O31" s="228">
        <f>GETPIVOTDATA("Sum of New UG E-Learning",'Pivot Table for Fact Book'!$A$3,"State","KY","type",15,"Type2","Four-Year")</f>
        <v>0</v>
      </c>
      <c r="P31" s="229">
        <f>GETPIVOTDATA("Sum of Old UG E-Learning",'Pivot Table for Fact Book'!$A$3,"State","KY","Type2","Four-Year")</f>
        <v>184238</v>
      </c>
      <c r="Q31" s="229">
        <f>GETPIVOTDATA("Sum of New UG E-Learning",'Pivot Table for Fact Book'!$A$3,"State","KY","Type2","Four-Year")</f>
        <v>218947</v>
      </c>
      <c r="R31" s="227">
        <f>GETPIVOTDATA("Sum of Old UG E-Learning",'Pivot Table for Fact Book'!$A$3,"State","KY","type",7,"Type2","Two-Year")</f>
        <v>0</v>
      </c>
      <c r="S31" s="230">
        <f>GETPIVOTDATA("Sum of New UG E-Learning",'Pivot Table for Fact Book'!$A$3,"State","KY","type",7,"Type2","Two-Year")</f>
        <v>0</v>
      </c>
      <c r="T31" s="230">
        <f>GETPIVOTDATA("Sum of Old UG E-Learning",'Pivot Table for Fact Book'!$A$3,"State","KY","type",8,"Type2","Two-Year")</f>
        <v>85211</v>
      </c>
      <c r="U31" s="230">
        <f>GETPIVOTDATA("Sum of New UG E-Learning",'Pivot Table for Fact Book'!$A$3,"State","KY","type",8,"Type2","Two-Year")</f>
        <v>103376</v>
      </c>
      <c r="V31" s="230">
        <f>GETPIVOTDATA("Sum of Old UG E-Learning",'Pivot Table for Fact Book'!$A$3,"State","KY","type",9,"Type2","Two-Year")</f>
        <v>153459</v>
      </c>
      <c r="W31" s="230">
        <f>GETPIVOTDATA("Sum of New UG E-Learning",'Pivot Table for Fact Book'!$A$3,"State","KY","type",9,"Type2","Two-Year")</f>
        <v>207175</v>
      </c>
      <c r="X31" s="230">
        <f>GETPIVOTDATA("Sum of Old UG E-Learning",'Pivot Table for Fact Book'!$A$3,"State","KY","type",10,"Type2","Two-Year")</f>
        <v>35443</v>
      </c>
      <c r="Y31" s="230">
        <f>GETPIVOTDATA("Sum of New UG E-Learning",'Pivot Table for Fact Book'!$A$3,"State","KY","type",10,"Type2","Two-Year")</f>
        <v>43259</v>
      </c>
      <c r="Z31" s="231">
        <f>GETPIVOTDATA("Sum of Old UG E-Learning",'Pivot Table for Fact Book'!$A$3,"State","KY","Type2","Two-Year")</f>
        <v>274113</v>
      </c>
      <c r="AA31" s="231">
        <f>GETPIVOTDATA("Sum of New UG E-Learning",'Pivot Table for Fact Book'!$A$3,"State","KY","Type2","Two-Year")</f>
        <v>353810</v>
      </c>
      <c r="AB31" s="227">
        <f>GETPIVOTDATA("Sum of Old UG E-Learning",'Pivot Table for Fact Book'!$A$3,"State","KY","type",12,"Type2","Technical")</f>
        <v>2934</v>
      </c>
      <c r="AC31" s="230">
        <f>GETPIVOTDATA("Sum of New UG E-Learning",'Pivot Table for Fact Book'!$A$3,"State","KY","type",12,"Type2","Technical")</f>
        <v>5667</v>
      </c>
      <c r="AD31" s="230">
        <f>GETPIVOTDATA("Sum of Old UG E-Learning",'Pivot Table for Fact Book'!$A$3,"State","KY","type",13,"Type2","Technical")</f>
        <v>0</v>
      </c>
      <c r="AE31" s="230">
        <f>GETPIVOTDATA("Sum of New UG E-Learning",'Pivot Table for Fact Book'!$A$3,"State","KY","type",13,"Type2","Technical")</f>
        <v>0</v>
      </c>
      <c r="AF31" s="233">
        <f>GETPIVOTDATA("Sum of Old UG E-Learning",'Pivot Table for Fact Book'!$A$3,"State","KY","Type2","Technical")</f>
        <v>2934</v>
      </c>
      <c r="AG31" s="233">
        <f>GETPIVOTDATA("Sum of New UG E-Learning",'Pivot Table for Fact Book'!$A$3,"State","KY","Type2","Technical")</f>
        <v>5667</v>
      </c>
      <c r="AH31" s="27"/>
    </row>
    <row r="32" spans="1:34">
      <c r="A32" s="226" t="s">
        <v>659</v>
      </c>
      <c r="B32" s="227">
        <f>GETPIVOTDATA("Sum of Old UG E-Learning",'Pivot Table for Fact Book'!$A$3,"State","LA","type",1,"Type2","Four-Year")</f>
        <v>0</v>
      </c>
      <c r="C32" s="228">
        <f>GETPIVOTDATA("Sum of New UG E-Learning",'Pivot Table for Fact Book'!$A$3,"State","LA","type",1,"Type2","Four-Year")</f>
        <v>0</v>
      </c>
      <c r="D32" s="227">
        <f>GETPIVOTDATA("Sum of Old UG E-Learning",'Pivot Table for Fact Book'!$A$3,"State","LA","type",2,"Type2","Four-Year")</f>
        <v>0</v>
      </c>
      <c r="E32" s="228">
        <f>GETPIVOTDATA("Sum of New UG E-Learning",'Pivot Table for Fact Book'!$A$3,"State","LA","type",2,"Type2","Four-Year")</f>
        <v>0</v>
      </c>
      <c r="F32" s="227">
        <f>GETPIVOTDATA("Sum of Old UG E-Learning",'Pivot Table for Fact Book'!$A$3,"State","LA","type",3,"Type2","Four-Year")</f>
        <v>0</v>
      </c>
      <c r="G32" s="228">
        <f>GETPIVOTDATA("Sum of New UG E-Learning",'Pivot Table for Fact Book'!$A$3,"State","LA","type",3,"Type2","Four-Year")</f>
        <v>0</v>
      </c>
      <c r="H32" s="227">
        <f>GETPIVOTDATA("Sum of Old UG E-Learning",'Pivot Table for Fact Book'!$A$3,"State","LA","type",4,"Type2","Four-Year")</f>
        <v>0</v>
      </c>
      <c r="I32" s="228">
        <f>GETPIVOTDATA("Sum of New UG E-Learning",'Pivot Table for Fact Book'!$A$3,"State","LA","type",4,"Type2","Four-Year")</f>
        <v>0</v>
      </c>
      <c r="J32" s="227">
        <f>GETPIVOTDATA("Sum of Old UG E-Learning",'Pivot Table for Fact Book'!$A$3,"State","LA","type",5,"Type2","Four-Year")</f>
        <v>0</v>
      </c>
      <c r="K32" s="228">
        <f>GETPIVOTDATA("Sum of New UG E-Learning",'Pivot Table for Fact Book'!$A$3,"State","LA","type",5,"Type2","Four-Year")</f>
        <v>0</v>
      </c>
      <c r="L32" s="227">
        <f>GETPIVOTDATA("Sum of Old UG E-Learning",'Pivot Table for Fact Book'!$A$3,"State","LA","type",6,"Type2","Four-Year")</f>
        <v>0</v>
      </c>
      <c r="M32" s="228">
        <f>GETPIVOTDATA("Sum of New UG E-Learning",'Pivot Table for Fact Book'!$A$3,"State","LA","type",6,"Type2","Four-Year")</f>
        <v>0</v>
      </c>
      <c r="N32" s="227">
        <f>GETPIVOTDATA("Sum of Old UG E-Learning",'Pivot Table for Fact Book'!$A$3,"State","LA","type",15,"Type2","Four-Year")</f>
        <v>0</v>
      </c>
      <c r="O32" s="228">
        <f>GETPIVOTDATA("Sum of New UG E-Learning",'Pivot Table for Fact Book'!$A$3,"State","LA","type",15,"Type2","Four-Year")</f>
        <v>0</v>
      </c>
      <c r="P32" s="229">
        <f>GETPIVOTDATA("Sum of Old UG E-Learning",'Pivot Table for Fact Book'!$A$3,"State","LA","Type2","Four-Year")</f>
        <v>0</v>
      </c>
      <c r="Q32" s="229">
        <f>GETPIVOTDATA("Sum of New UG E-Learning",'Pivot Table for Fact Book'!$A$3,"State","LA","Type2","Four-Year")</f>
        <v>0</v>
      </c>
      <c r="R32" s="227">
        <f>GETPIVOTDATA("Sum of Old UG E-Learning",'Pivot Table for Fact Book'!$A$3,"State","LA","type",7,"Type2","Two-Year")</f>
        <v>0</v>
      </c>
      <c r="S32" s="230">
        <f>GETPIVOTDATA("Sum of New UG E-Learning",'Pivot Table for Fact Book'!$A$3,"State","LA","type",7,"Type2","Two-Year")</f>
        <v>0</v>
      </c>
      <c r="T32" s="230">
        <f>GETPIVOTDATA("Sum of Old UG E-Learning",'Pivot Table for Fact Book'!$A$3,"State","LA","type",8,"Type2","Two-Year")</f>
        <v>0</v>
      </c>
      <c r="U32" s="230">
        <f>GETPIVOTDATA("Sum of New UG E-Learning",'Pivot Table for Fact Book'!$A$3,"State","LA","type",8,"Type2","Two-Year")</f>
        <v>0</v>
      </c>
      <c r="V32" s="230">
        <f>GETPIVOTDATA("Sum of Old UG E-Learning",'Pivot Table for Fact Book'!$A$3,"State","LA","type",9,"Type2","Two-Year")</f>
        <v>0</v>
      </c>
      <c r="W32" s="230">
        <f>GETPIVOTDATA("Sum of New UG E-Learning",'Pivot Table for Fact Book'!$A$3,"State","LA","type",9,"Type2","Two-Year")</f>
        <v>0</v>
      </c>
      <c r="X32" s="230">
        <f>GETPIVOTDATA("Sum of Old UG E-Learning",'Pivot Table for Fact Book'!$A$3,"State","LA","type",10,"Type2","Two-Year")</f>
        <v>0</v>
      </c>
      <c r="Y32" s="230">
        <f>GETPIVOTDATA("Sum of New UG E-Learning",'Pivot Table for Fact Book'!$A$3,"State","LA","type",10,"Type2","Two-Year")</f>
        <v>0</v>
      </c>
      <c r="Z32" s="231">
        <f>GETPIVOTDATA("Sum of Old UG E-Learning",'Pivot Table for Fact Book'!$A$3,"State","LA","Type2","Two-Year")</f>
        <v>0</v>
      </c>
      <c r="AA32" s="231">
        <f>GETPIVOTDATA("Sum of New UG E-Learning",'Pivot Table for Fact Book'!$A$3,"State","LA","Type2","Two-Year")</f>
        <v>0</v>
      </c>
      <c r="AB32" s="227">
        <f>GETPIVOTDATA("Sum of Old UG E-Learning",'Pivot Table for Fact Book'!$A$3,"State","LA","type",12,"Type2","Technical")</f>
        <v>0</v>
      </c>
      <c r="AC32" s="230">
        <f>GETPIVOTDATA("Sum of New UG E-Learning",'Pivot Table for Fact Book'!$A$3,"State","LA","type",12,"Type2","Technical")</f>
        <v>0</v>
      </c>
      <c r="AD32" s="230">
        <f>GETPIVOTDATA("Sum of Old UG E-Learning",'Pivot Table for Fact Book'!$A$3,"State","LA","type",13,"Type2","Technical")</f>
        <v>0</v>
      </c>
      <c r="AE32" s="230">
        <f>GETPIVOTDATA("Sum of New UG E-Learning",'Pivot Table for Fact Book'!$A$3,"State","LA","type",13,"Type2","Technical")</f>
        <v>0</v>
      </c>
      <c r="AF32" s="233">
        <f>GETPIVOTDATA("Sum of Old UG E-Learning",'Pivot Table for Fact Book'!$A$3,"State","LA","Type2","Technical")</f>
        <v>0</v>
      </c>
      <c r="AG32" s="233">
        <f>GETPIVOTDATA("Sum of New UG E-Learning",'Pivot Table for Fact Book'!$A$3,"State","LA","Type2","Technical")</f>
        <v>0</v>
      </c>
      <c r="AH32" s="27"/>
    </row>
    <row r="33" spans="1:34">
      <c r="A33" s="226" t="s">
        <v>700</v>
      </c>
      <c r="B33" s="227">
        <f>GETPIVOTDATA("Sum of Old UG E-Learning",'Pivot Table for Fact Book'!$A$3,"State","MD","type",1,"Type2","Four-Year")</f>
        <v>4426</v>
      </c>
      <c r="C33" s="228">
        <f>GETPIVOTDATA("Sum of New UG E-Learning",'Pivot Table for Fact Book'!$A$3,"State","MD","type",1,"Type2","Four-Year")</f>
        <v>7163</v>
      </c>
      <c r="D33" s="227">
        <f>GETPIVOTDATA("Sum of Old UG E-Learning",'Pivot Table for Fact Book'!$A$3,"State","MD","type",2,"Type2","Four-Year")</f>
        <v>938</v>
      </c>
      <c r="E33" s="228">
        <f>GETPIVOTDATA("Sum of New UG E-Learning",'Pivot Table for Fact Book'!$A$3,"State","MD","type",2,"Type2","Four-Year")</f>
        <v>12436</v>
      </c>
      <c r="F33" s="227">
        <f>GETPIVOTDATA("Sum of Old UG E-Learning",'Pivot Table for Fact Book'!$A$3,"State","MD","type",3,"Type2","Four-Year")</f>
        <v>12519</v>
      </c>
      <c r="G33" s="228">
        <f>GETPIVOTDATA("Sum of New UG E-Learning",'Pivot Table for Fact Book'!$A$3,"State","MD","type",3,"Type2","Four-Year")</f>
        <v>18028</v>
      </c>
      <c r="H33" s="227">
        <f>GETPIVOTDATA("Sum of Old UG E-Learning",'Pivot Table for Fact Book'!$A$3,"State","MD","type",4,"Type2","Four-Year")</f>
        <v>41190</v>
      </c>
      <c r="I33" s="228">
        <f>GETPIVOTDATA("Sum of New UG E-Learning",'Pivot Table for Fact Book'!$A$3,"State","MD","type",4,"Type2","Four-Year")</f>
        <v>52201</v>
      </c>
      <c r="J33" s="227">
        <f>GETPIVOTDATA("Sum of Old UG E-Learning",'Pivot Table for Fact Book'!$A$3,"State","MD","type",5,"Type2","Four-Year")</f>
        <v>0</v>
      </c>
      <c r="K33" s="228">
        <f>GETPIVOTDATA("Sum of New UG E-Learning",'Pivot Table for Fact Book'!$A$3,"State","MD","type",5,"Type2","Four-Year")</f>
        <v>0</v>
      </c>
      <c r="L33" s="227">
        <f>GETPIVOTDATA("Sum of Old UG E-Learning",'Pivot Table for Fact Book'!$A$3,"State","MD","type",6,"Type2","Four-Year")</f>
        <v>0</v>
      </c>
      <c r="M33" s="228">
        <f>GETPIVOTDATA("Sum of New UG E-Learning",'Pivot Table for Fact Book'!$A$3,"State","MD","type",6,"Type2","Four-Year")</f>
        <v>0</v>
      </c>
      <c r="N33" s="227">
        <f>GETPIVOTDATA("Sum of Old UG E-Learning",'Pivot Table for Fact Book'!$A$3,"State","MD","type",15,"Type2","Four-Year")</f>
        <v>293250</v>
      </c>
      <c r="O33" s="228">
        <f>GETPIVOTDATA("Sum of New UG E-Learning",'Pivot Table for Fact Book'!$A$3,"State","MD","type",15,"Type2","Four-Year")</f>
        <v>328772</v>
      </c>
      <c r="P33" s="229">
        <f>GETPIVOTDATA("Sum of Old UG E-Learning",'Pivot Table for Fact Book'!$A$3,"State","MD","Type2","Four-Year")</f>
        <v>352323</v>
      </c>
      <c r="Q33" s="229">
        <f>GETPIVOTDATA("Sum of New UG E-Learning",'Pivot Table for Fact Book'!$A$3,"State","MD","Type2","Four-Year")</f>
        <v>418600</v>
      </c>
      <c r="R33" s="227">
        <f>GETPIVOTDATA("Sum of Old UG E-Learning",'Pivot Table for Fact Book'!$A$3,"State","MD","type",7,"Type2","Two-Year")</f>
        <v>0</v>
      </c>
      <c r="S33" s="230">
        <f>GETPIVOTDATA("Sum of New UG E-Learning",'Pivot Table for Fact Book'!$A$3,"State","MD","type",7,"Type2","Two-Year")</f>
        <v>0</v>
      </c>
      <c r="T33" s="230">
        <f>GETPIVOTDATA("Sum of Old UG E-Learning",'Pivot Table for Fact Book'!$A$3,"State","MD","type",8,"Type2","Two-Year")</f>
        <v>140958.53</v>
      </c>
      <c r="U33" s="230">
        <f>GETPIVOTDATA("Sum of New UG E-Learning",'Pivot Table for Fact Book'!$A$3,"State","MD","type",8,"Type2","Two-Year")</f>
        <v>179369</v>
      </c>
      <c r="V33" s="230">
        <f>GETPIVOTDATA("Sum of Old UG E-Learning",'Pivot Table for Fact Book'!$A$3,"State","MD","type",9,"Type2","Two-Year")</f>
        <v>116792</v>
      </c>
      <c r="W33" s="230">
        <f>GETPIVOTDATA("Sum of New UG E-Learning",'Pivot Table for Fact Book'!$A$3,"State","MD","type",9,"Type2","Two-Year")</f>
        <v>127195.5</v>
      </c>
      <c r="X33" s="230">
        <f>GETPIVOTDATA("Sum of Old UG E-Learning",'Pivot Table for Fact Book'!$A$3,"State","MD","type",10,"Type2","Two-Year")</f>
        <v>26099</v>
      </c>
      <c r="Y33" s="230">
        <f>GETPIVOTDATA("Sum of New UG E-Learning",'Pivot Table for Fact Book'!$A$3,"State","MD","type",10,"Type2","Two-Year")</f>
        <v>29157</v>
      </c>
      <c r="Z33" s="231">
        <f>GETPIVOTDATA("Sum of Old UG E-Learning",'Pivot Table for Fact Book'!$A$3,"State","MD","Type2","Two-Year")</f>
        <v>283849.53000000003</v>
      </c>
      <c r="AA33" s="231">
        <f>GETPIVOTDATA("Sum of New UG E-Learning",'Pivot Table for Fact Book'!$A$3,"State","MD","Type2","Two-Year")</f>
        <v>335721.5</v>
      </c>
      <c r="AB33" s="227">
        <f>GETPIVOTDATA("Sum of Old UG E-Learning",'Pivot Table for Fact Book'!$A$3,"State","MD","type",12,"Type2","Technical")</f>
        <v>0</v>
      </c>
      <c r="AC33" s="230">
        <f>GETPIVOTDATA("Sum of New UG E-Learning",'Pivot Table for Fact Book'!$A$3,"State","MD","type",12,"Type2","Technical")</f>
        <v>0</v>
      </c>
      <c r="AD33" s="230">
        <f>GETPIVOTDATA("Sum of Old UG E-Learning",'Pivot Table for Fact Book'!$A$3,"State","MD","type",13,"Type2","Technical")</f>
        <v>0</v>
      </c>
      <c r="AE33" s="230">
        <f>GETPIVOTDATA("Sum of New UG E-Learning",'Pivot Table for Fact Book'!$A$3,"State","MD","type",13,"Type2","Technical")</f>
        <v>0</v>
      </c>
      <c r="AF33" s="233">
        <f>GETPIVOTDATA("Sum of Old UG E-Learning",'Pivot Table for Fact Book'!$A$3,"State","MD","Type2","Technical")</f>
        <v>0</v>
      </c>
      <c r="AG33" s="233">
        <f>GETPIVOTDATA("Sum of New UG E-Learning",'Pivot Table for Fact Book'!$A$3,"State","MD","Type2","Technical")</f>
        <v>0</v>
      </c>
      <c r="AH33" s="27"/>
    </row>
    <row r="34" spans="1:34">
      <c r="A34" s="226" t="s">
        <v>661</v>
      </c>
      <c r="B34" s="227">
        <f>GETPIVOTDATA("Sum of Old UG E-Learning",'Pivot Table for Fact Book'!$A$3,"State","MS","type",1,"Type2","Four-Year")</f>
        <v>42263</v>
      </c>
      <c r="C34" s="228">
        <f>GETPIVOTDATA("Sum of New UG E-Learning",'Pivot Table for Fact Book'!$A$3,"State","MS","type",1,"Type2","Four-Year")</f>
        <v>47630</v>
      </c>
      <c r="D34" s="227">
        <f>GETPIVOTDATA("Sum of Old UG E-Learning",'Pivot Table for Fact Book'!$A$3,"State","MS","type",2,"Type2","Four-Year")</f>
        <v>20636</v>
      </c>
      <c r="E34" s="228">
        <f>GETPIVOTDATA("Sum of New UG E-Learning",'Pivot Table for Fact Book'!$A$3,"State","MS","type",2,"Type2","Four-Year")</f>
        <v>21318</v>
      </c>
      <c r="F34" s="227">
        <f>GETPIVOTDATA("Sum of Old UG E-Learning",'Pivot Table for Fact Book'!$A$3,"State","MS","type",3,"Type2","Four-Year")</f>
        <v>0</v>
      </c>
      <c r="G34" s="228">
        <f>GETPIVOTDATA("Sum of New UG E-Learning",'Pivot Table for Fact Book'!$A$3,"State","MS","type",3,"Type2","Four-Year")</f>
        <v>0</v>
      </c>
      <c r="H34" s="227">
        <f>GETPIVOTDATA("Sum of Old UG E-Learning",'Pivot Table for Fact Book'!$A$3,"State","MS","type",4,"Type2","Four-Year")</f>
        <v>15216</v>
      </c>
      <c r="I34" s="228">
        <f>GETPIVOTDATA("Sum of New UG E-Learning",'Pivot Table for Fact Book'!$A$3,"State","MS","type",4,"Type2","Four-Year")</f>
        <v>25285</v>
      </c>
      <c r="J34" s="227">
        <f>GETPIVOTDATA("Sum of Old UG E-Learning",'Pivot Table for Fact Book'!$A$3,"State","MS","type",5,"Type2","Four-Year")</f>
        <v>5500</v>
      </c>
      <c r="K34" s="228">
        <f>GETPIVOTDATA("Sum of New UG E-Learning",'Pivot Table for Fact Book'!$A$3,"State","MS","type",5,"Type2","Four-Year")</f>
        <v>11614</v>
      </c>
      <c r="L34" s="227">
        <f>GETPIVOTDATA("Sum of Old UG E-Learning",'Pivot Table for Fact Book'!$A$3,"State","MS","type",6,"Type2","Four-Year")</f>
        <v>0</v>
      </c>
      <c r="M34" s="228">
        <f>GETPIVOTDATA("Sum of New UG E-Learning",'Pivot Table for Fact Book'!$A$3,"State","MS","type",6,"Type2","Four-Year")</f>
        <v>0</v>
      </c>
      <c r="N34" s="227">
        <f>GETPIVOTDATA("Sum of Old UG E-Learning",'Pivot Table for Fact Book'!$A$3,"State","MS","type",15,"Type2","Four-Year")</f>
        <v>0</v>
      </c>
      <c r="O34" s="228">
        <f>GETPIVOTDATA("Sum of New UG E-Learning",'Pivot Table for Fact Book'!$A$3,"State","MS","type",15,"Type2","Four-Year")</f>
        <v>0</v>
      </c>
      <c r="P34" s="229">
        <f>GETPIVOTDATA("Sum of Old UG E-Learning",'Pivot Table for Fact Book'!$A$3,"State","MS","Type2","Four-Year")</f>
        <v>83615</v>
      </c>
      <c r="Q34" s="229">
        <f>GETPIVOTDATA("Sum of New UG E-Learning",'Pivot Table for Fact Book'!$A$3,"State","MS","Type2","Four-Year")</f>
        <v>105847</v>
      </c>
      <c r="R34" s="227">
        <f>GETPIVOTDATA("Sum of Old UG E-Learning",'Pivot Table for Fact Book'!$A$3,"State","MS","type",7,"Type2","Two-Year")</f>
        <v>0</v>
      </c>
      <c r="S34" s="230">
        <f>GETPIVOTDATA("Sum of New UG E-Learning",'Pivot Table for Fact Book'!$A$3,"State","MS","type",7,"Type2","Two-Year")</f>
        <v>0</v>
      </c>
      <c r="T34" s="230">
        <f>GETPIVOTDATA("Sum of Old UG E-Learning",'Pivot Table for Fact Book'!$A$3,"State","MS","type",8,"Type2","Two-Year")</f>
        <v>83640</v>
      </c>
      <c r="U34" s="230">
        <f>GETPIVOTDATA("Sum of New UG E-Learning",'Pivot Table for Fact Book'!$A$3,"State","MS","type",8,"Type2","Two-Year")</f>
        <v>96139</v>
      </c>
      <c r="V34" s="230">
        <f>GETPIVOTDATA("Sum of Old UG E-Learning",'Pivot Table for Fact Book'!$A$3,"State","MS","type",9,"Type2","Two-Year")</f>
        <v>158885</v>
      </c>
      <c r="W34" s="230">
        <f>GETPIVOTDATA("Sum of New UG E-Learning",'Pivot Table for Fact Book'!$A$3,"State","MS","type",9,"Type2","Two-Year")</f>
        <v>185834</v>
      </c>
      <c r="X34" s="230">
        <f>GETPIVOTDATA("Sum of Old UG E-Learning",'Pivot Table for Fact Book'!$A$3,"State","MS","type",10,"Type2","Two-Year")</f>
        <v>7797</v>
      </c>
      <c r="Y34" s="230">
        <f>GETPIVOTDATA("Sum of New UG E-Learning",'Pivot Table for Fact Book'!$A$3,"State","MS","type",10,"Type2","Two-Year")</f>
        <v>8841</v>
      </c>
      <c r="Z34" s="231">
        <f>GETPIVOTDATA("Sum of Old UG E-Learning",'Pivot Table for Fact Book'!$A$3,"State","MS","Type2","Two-Year")</f>
        <v>250322</v>
      </c>
      <c r="AA34" s="231">
        <f>GETPIVOTDATA("Sum of New UG E-Learning",'Pivot Table for Fact Book'!$A$3,"State","MS","Type2","Two-Year")</f>
        <v>290814</v>
      </c>
      <c r="AB34" s="227">
        <f>GETPIVOTDATA("Sum of Old UG E-Learning",'Pivot Table for Fact Book'!$A$3,"State","MS","type",12,"Type2","Technical")</f>
        <v>0</v>
      </c>
      <c r="AC34" s="230">
        <f>GETPIVOTDATA("Sum of New UG E-Learning",'Pivot Table for Fact Book'!$A$3,"State","MS","type",12,"Type2","Technical")</f>
        <v>0</v>
      </c>
      <c r="AD34" s="230">
        <f>GETPIVOTDATA("Sum of Old UG E-Learning",'Pivot Table for Fact Book'!$A$3,"State","MS","type",13,"Type2","Technical")</f>
        <v>0</v>
      </c>
      <c r="AE34" s="230">
        <f>GETPIVOTDATA("Sum of New UG E-Learning",'Pivot Table for Fact Book'!$A$3,"State","MS","type",13,"Type2","Technical")</f>
        <v>0</v>
      </c>
      <c r="AF34" s="233">
        <f>GETPIVOTDATA("Sum of Old UG E-Learning",'Pivot Table for Fact Book'!$A$3,"State","MS","Type2","Technical")</f>
        <v>0</v>
      </c>
      <c r="AG34" s="233">
        <f>GETPIVOTDATA("Sum of New UG E-Learning",'Pivot Table for Fact Book'!$A$3,"State","MS","Type2","Technical")</f>
        <v>0</v>
      </c>
      <c r="AH34" s="27"/>
    </row>
    <row r="35" spans="1:34">
      <c r="A35" s="226" t="s">
        <v>662</v>
      </c>
      <c r="B35" s="227">
        <f>GETPIVOTDATA("Sum of Old UG E-Learning",'Pivot Table for Fact Book'!$A$3,"State","NC","type",1,"Type2","Four-Year")</f>
        <v>57481</v>
      </c>
      <c r="C35" s="228">
        <f>GETPIVOTDATA("Sum of New UG E-Learning",'Pivot Table for Fact Book'!$A$3,"State","NC","type",1,"Type2","Four-Year")</f>
        <v>74174</v>
      </c>
      <c r="D35" s="227">
        <f>GETPIVOTDATA("Sum of Old UG E-Learning",'Pivot Table for Fact Book'!$A$3,"State","NC","type",2,"Type2","Four-Year")</f>
        <v>44851</v>
      </c>
      <c r="E35" s="228">
        <f>GETPIVOTDATA("Sum of New UG E-Learning",'Pivot Table for Fact Book'!$A$3,"State","NC","type",2,"Type2","Four-Year")</f>
        <v>87152</v>
      </c>
      <c r="F35" s="227">
        <f>GETPIVOTDATA("Sum of Old UG E-Learning",'Pivot Table for Fact Book'!$A$3,"State","NC","type",3,"Type2","Four-Year")</f>
        <v>133051</v>
      </c>
      <c r="G35" s="228">
        <f>GETPIVOTDATA("Sum of New UG E-Learning",'Pivot Table for Fact Book'!$A$3,"State","NC","type",3,"Type2","Four-Year")</f>
        <v>151876</v>
      </c>
      <c r="H35" s="227">
        <f>GETPIVOTDATA("Sum of Old UG E-Learning",'Pivot Table for Fact Book'!$A$3,"State","NC","type",4,"Type2","Four-Year")</f>
        <v>16706</v>
      </c>
      <c r="I35" s="228">
        <f>GETPIVOTDATA("Sum of New UG E-Learning",'Pivot Table for Fact Book'!$A$3,"State","NC","type",4,"Type2","Four-Year")</f>
        <v>16997</v>
      </c>
      <c r="J35" s="227">
        <f>GETPIVOTDATA("Sum of Old UG E-Learning",'Pivot Table for Fact Book'!$A$3,"State","NC","type",5,"Type2","Four-Year")</f>
        <v>35241</v>
      </c>
      <c r="K35" s="228">
        <f>GETPIVOTDATA("Sum of New UG E-Learning",'Pivot Table for Fact Book'!$A$3,"State","NC","type",5,"Type2","Four-Year")</f>
        <v>41237</v>
      </c>
      <c r="L35" s="227">
        <f>GETPIVOTDATA("Sum of Old UG E-Learning",'Pivot Table for Fact Book'!$A$3,"State","NC","type",6,"Type2","Four-Year")</f>
        <v>3310</v>
      </c>
      <c r="M35" s="228">
        <f>GETPIVOTDATA("Sum of New UG E-Learning",'Pivot Table for Fact Book'!$A$3,"State","NC","type",6,"Type2","Four-Year")</f>
        <v>13231</v>
      </c>
      <c r="N35" s="227">
        <f>GETPIVOTDATA("Sum of Old UG E-Learning",'Pivot Table for Fact Book'!$A$3,"State","NC","type",15,"Type2","Four-Year")</f>
        <v>0</v>
      </c>
      <c r="O35" s="228">
        <f>GETPIVOTDATA("Sum of New UG E-Learning",'Pivot Table for Fact Book'!$A$3,"State","NC","type",15,"Type2","Four-Year")</f>
        <v>0</v>
      </c>
      <c r="P35" s="229">
        <f>GETPIVOTDATA("Sum of Old UG E-Learning",'Pivot Table for Fact Book'!$A$3,"State","NC","Type2","Four-Year")</f>
        <v>290640</v>
      </c>
      <c r="Q35" s="229">
        <f>GETPIVOTDATA("Sum of New UG E-Learning",'Pivot Table for Fact Book'!$A$3,"State","NC","Type2","Four-Year")</f>
        <v>384667</v>
      </c>
      <c r="R35" s="227">
        <f>GETPIVOTDATA("Sum of Old UG E-Learning",'Pivot Table for Fact Book'!$A$3,"State","NC","type",7,"Type2","Two-Year")</f>
        <v>0</v>
      </c>
      <c r="S35" s="230">
        <f>GETPIVOTDATA("Sum of New UG E-Learning",'Pivot Table for Fact Book'!$A$3,"State","NC","type",7,"Type2","Two-Year")</f>
        <v>0</v>
      </c>
      <c r="T35" s="230">
        <f>GETPIVOTDATA("Sum of Old UG E-Learning",'Pivot Table for Fact Book'!$A$3,"State","NC","type",8,"Type2","Two-Year")</f>
        <v>535012.19999999995</v>
      </c>
      <c r="U35" s="230">
        <f>GETPIVOTDATA("Sum of New UG E-Learning",'Pivot Table for Fact Book'!$A$3,"State","NC","type",8,"Type2","Two-Year")</f>
        <v>731909.10000000009</v>
      </c>
      <c r="V35" s="230">
        <f>GETPIVOTDATA("Sum of Old UG E-Learning",'Pivot Table for Fact Book'!$A$3,"State","NC","type",9,"Type2","Two-Year")</f>
        <v>617967.6</v>
      </c>
      <c r="W35" s="230">
        <f>GETPIVOTDATA("Sum of New UG E-Learning",'Pivot Table for Fact Book'!$A$3,"State","NC","type",9,"Type2","Two-Year")</f>
        <v>796868.39999999991</v>
      </c>
      <c r="X35" s="230">
        <f>GETPIVOTDATA("Sum of Old UG E-Learning",'Pivot Table for Fact Book'!$A$3,"State","NC","type",10,"Type2","Two-Year")</f>
        <v>95168.700000000012</v>
      </c>
      <c r="Y35" s="230">
        <f>GETPIVOTDATA("Sum of New UG E-Learning",'Pivot Table for Fact Book'!$A$3,"State","NC","type",10,"Type2","Two-Year")</f>
        <v>126711.90000000001</v>
      </c>
      <c r="Z35" s="231">
        <f>GETPIVOTDATA("Sum of Old UG E-Learning",'Pivot Table for Fact Book'!$A$3,"State","NC","Type2","Two-Year")</f>
        <v>1248148.5</v>
      </c>
      <c r="AA35" s="231">
        <f>GETPIVOTDATA("Sum of New UG E-Learning",'Pivot Table for Fact Book'!$A$3,"State","NC","Type2","Two-Year")</f>
        <v>1655489.4000000004</v>
      </c>
      <c r="AB35" s="227">
        <f>GETPIVOTDATA("Sum of Old UG E-Learning",'Pivot Table for Fact Book'!$A$3,"State","NC","type",12,"Type2","Technical")</f>
        <v>0</v>
      </c>
      <c r="AC35" s="230">
        <f>GETPIVOTDATA("Sum of New UG E-Learning",'Pivot Table for Fact Book'!$A$3,"State","NC","type",12,"Type2","Technical")</f>
        <v>0</v>
      </c>
      <c r="AD35" s="230">
        <f>GETPIVOTDATA("Sum of Old UG E-Learning",'Pivot Table for Fact Book'!$A$3,"State","NC","type",13,"Type2","Technical")</f>
        <v>0</v>
      </c>
      <c r="AE35" s="230">
        <f>GETPIVOTDATA("Sum of New UG E-Learning",'Pivot Table for Fact Book'!$A$3,"State","NC","type",13,"Type2","Technical")</f>
        <v>0</v>
      </c>
      <c r="AF35" s="233">
        <f>GETPIVOTDATA("Sum of Old UG E-Learning",'Pivot Table for Fact Book'!$A$3,"State","NC","Type2","Technical")</f>
        <v>0</v>
      </c>
      <c r="AG35" s="233">
        <f>GETPIVOTDATA("Sum of New UG E-Learning",'Pivot Table for Fact Book'!$A$3,"State","NC","Type2","Technical")</f>
        <v>0</v>
      </c>
      <c r="AH35" s="27"/>
    </row>
    <row r="36" spans="1:34">
      <c r="A36" s="226" t="s">
        <v>663</v>
      </c>
      <c r="B36" s="227">
        <f>GETPIVOTDATA("Sum of Old UG E-Learning",'Pivot Table for Fact Book'!$A$3,"State","OK","type",1,"Type2","Four-Year")</f>
        <v>53613</v>
      </c>
      <c r="C36" s="228">
        <f>GETPIVOTDATA("Sum of New UG E-Learning",'Pivot Table for Fact Book'!$A$3,"State","OK","type",1,"Type2","Four-Year")</f>
        <v>91461</v>
      </c>
      <c r="D36" s="227">
        <f>GETPIVOTDATA("Sum of Old UG E-Learning",'Pivot Table for Fact Book'!$A$3,"State","OK","type",2,"Type2","Four-Year")</f>
        <v>0</v>
      </c>
      <c r="E36" s="228">
        <f>GETPIVOTDATA("Sum of New UG E-Learning",'Pivot Table for Fact Book'!$A$3,"State","OK","type",2,"Type2","Four-Year")</f>
        <v>0</v>
      </c>
      <c r="F36" s="227">
        <f>GETPIVOTDATA("Sum of Old UG E-Learning",'Pivot Table for Fact Book'!$A$3,"State","OK","type",3,"Type2","Four-Year")</f>
        <v>31027</v>
      </c>
      <c r="G36" s="228">
        <f>GETPIVOTDATA("Sum of New UG E-Learning",'Pivot Table for Fact Book'!$A$3,"State","OK","type",3,"Type2","Four-Year")</f>
        <v>44817</v>
      </c>
      <c r="H36" s="227">
        <f>GETPIVOTDATA("Sum of Old UG E-Learning",'Pivot Table for Fact Book'!$A$3,"State","OK","type",4,"Type2","Four-Year")</f>
        <v>0</v>
      </c>
      <c r="I36" s="228">
        <f>GETPIVOTDATA("Sum of New UG E-Learning",'Pivot Table for Fact Book'!$A$3,"State","OK","type",4,"Type2","Four-Year")</f>
        <v>0</v>
      </c>
      <c r="J36" s="227">
        <f>GETPIVOTDATA("Sum of Old UG E-Learning",'Pivot Table for Fact Book'!$A$3,"State","OK","type",5,"Type2","Four-Year")</f>
        <v>73927</v>
      </c>
      <c r="K36" s="228">
        <f>GETPIVOTDATA("Sum of New UG E-Learning",'Pivot Table for Fact Book'!$A$3,"State","OK","type",5,"Type2","Four-Year")</f>
        <v>108385</v>
      </c>
      <c r="L36" s="227">
        <f>GETPIVOTDATA("Sum of Old UG E-Learning",'Pivot Table for Fact Book'!$A$3,"State","OK","type",6,"Type2","Four-Year")</f>
        <v>29636</v>
      </c>
      <c r="M36" s="228">
        <f>GETPIVOTDATA("Sum of New UG E-Learning",'Pivot Table for Fact Book'!$A$3,"State","OK","type",6,"Type2","Four-Year")</f>
        <v>33440</v>
      </c>
      <c r="N36" s="227">
        <f>GETPIVOTDATA("Sum of Old UG E-Learning",'Pivot Table for Fact Book'!$A$3,"State","OK","type",15,"Type2","Four-Year")</f>
        <v>0</v>
      </c>
      <c r="O36" s="228">
        <f>GETPIVOTDATA("Sum of New UG E-Learning",'Pivot Table for Fact Book'!$A$3,"State","OK","type",15,"Type2","Four-Year")</f>
        <v>0</v>
      </c>
      <c r="P36" s="229">
        <f>GETPIVOTDATA("Sum of Old UG E-Learning",'Pivot Table for Fact Book'!$A$3,"State","OK","Type2","Four-Year")</f>
        <v>188203</v>
      </c>
      <c r="Q36" s="229">
        <f>GETPIVOTDATA("Sum of New UG E-Learning",'Pivot Table for Fact Book'!$A$3,"State","OK","Type2","Four-Year")</f>
        <v>278103</v>
      </c>
      <c r="R36" s="227">
        <f>GETPIVOTDATA("Sum of Old UG E-Learning",'Pivot Table for Fact Book'!$A$3,"State","OK","type",7,"Type2","Two-Year")</f>
        <v>0</v>
      </c>
      <c r="S36" s="230">
        <f>GETPIVOTDATA("Sum of New UG E-Learning",'Pivot Table for Fact Book'!$A$3,"State","OK","type",7,"Type2","Two-Year")</f>
        <v>0</v>
      </c>
      <c r="T36" s="230">
        <f>GETPIVOTDATA("Sum of Old UG E-Learning",'Pivot Table for Fact Book'!$A$3,"State","OK","type",8,"Type2","Two-Year")</f>
        <v>107264</v>
      </c>
      <c r="U36" s="230">
        <f>GETPIVOTDATA("Sum of New UG E-Learning",'Pivot Table for Fact Book'!$A$3,"State","OK","type",8,"Type2","Two-Year")</f>
        <v>119010</v>
      </c>
      <c r="V36" s="230">
        <f>GETPIVOTDATA("Sum of Old UG E-Learning",'Pivot Table for Fact Book'!$A$3,"State","OK","type",9,"Type2","Two-Year")</f>
        <v>69355</v>
      </c>
      <c r="W36" s="230">
        <f>GETPIVOTDATA("Sum of New UG E-Learning",'Pivot Table for Fact Book'!$A$3,"State","OK","type",9,"Type2","Two-Year")</f>
        <v>84376</v>
      </c>
      <c r="X36" s="230">
        <f>GETPIVOTDATA("Sum of Old UG E-Learning",'Pivot Table for Fact Book'!$A$3,"State","OK","type",10,"Type2","Two-Year")</f>
        <v>77274</v>
      </c>
      <c r="Y36" s="230">
        <f>GETPIVOTDATA("Sum of New UG E-Learning",'Pivot Table for Fact Book'!$A$3,"State","OK","type",10,"Type2","Two-Year")</f>
        <v>96490</v>
      </c>
      <c r="Z36" s="231">
        <f>GETPIVOTDATA("Sum of Old UG E-Learning",'Pivot Table for Fact Book'!$A$3,"State","OK","Type2","Two-Year")</f>
        <v>253893</v>
      </c>
      <c r="AA36" s="231">
        <f>GETPIVOTDATA("Sum of New UG E-Learning",'Pivot Table for Fact Book'!$A$3,"State","OK","Type2","Two-Year")</f>
        <v>299876</v>
      </c>
      <c r="AB36" s="227">
        <f>GETPIVOTDATA("Sum of Old UG E-Learning",'Pivot Table for Fact Book'!$A$3,"State","OK","type",12,"Type2","Technical")</f>
        <v>0</v>
      </c>
      <c r="AC36" s="230">
        <f>GETPIVOTDATA("Sum of New UG E-Learning",'Pivot Table for Fact Book'!$A$3,"State","OK","type",12,"Type2","Technical")</f>
        <v>0</v>
      </c>
      <c r="AD36" s="230">
        <f>GETPIVOTDATA("Sum of Old UG E-Learning",'Pivot Table for Fact Book'!$A$3,"State","OK","type",13,"Type2","Technical")</f>
        <v>0</v>
      </c>
      <c r="AE36" s="230">
        <f>GETPIVOTDATA("Sum of New UG E-Learning",'Pivot Table for Fact Book'!$A$3,"State","OK","type",13,"Type2","Technical")</f>
        <v>0</v>
      </c>
      <c r="AF36" s="233">
        <f>GETPIVOTDATA("Sum of Old UG E-Learning",'Pivot Table for Fact Book'!$A$3,"State","OK","Type2","Technical")</f>
        <v>0</v>
      </c>
      <c r="AG36" s="233">
        <f>GETPIVOTDATA("Sum of New UG E-Learning",'Pivot Table for Fact Book'!$A$3,"State","OK","Type2","Technical")</f>
        <v>0</v>
      </c>
      <c r="AH36" s="27"/>
    </row>
    <row r="37" spans="1:34">
      <c r="A37" s="226" t="s">
        <v>664</v>
      </c>
      <c r="B37" s="227">
        <f>GETPIVOTDATA("Sum of Old UG E-Learning",'Pivot Table for Fact Book'!$A$3,"State","SC","type",1,"Type2","Four-Year")</f>
        <v>27969</v>
      </c>
      <c r="C37" s="228">
        <f>GETPIVOTDATA("Sum of New UG E-Learning",'Pivot Table for Fact Book'!$A$3,"State","SC","type",1,"Type2","Four-Year")</f>
        <v>35942</v>
      </c>
      <c r="D37" s="227">
        <f>GETPIVOTDATA("Sum of Old UG E-Learning",'Pivot Table for Fact Book'!$A$3,"State","SC","type",2,"Type2","Four-Year")</f>
        <v>0</v>
      </c>
      <c r="E37" s="228">
        <f>GETPIVOTDATA("Sum of New UG E-Learning",'Pivot Table for Fact Book'!$A$3,"State","SC","type",2,"Type2","Four-Year")</f>
        <v>0</v>
      </c>
      <c r="F37" s="227">
        <f>GETPIVOTDATA("Sum of Old UG E-Learning",'Pivot Table for Fact Book'!$A$3,"State","SC","type",3,"Type2","Four-Year")</f>
        <v>0</v>
      </c>
      <c r="G37" s="228">
        <f>GETPIVOTDATA("Sum of New UG E-Learning",'Pivot Table for Fact Book'!$A$3,"State","SC","type",3,"Type2","Four-Year")</f>
        <v>0</v>
      </c>
      <c r="H37" s="227">
        <f>GETPIVOTDATA("Sum of Old UG E-Learning",'Pivot Table for Fact Book'!$A$3,"State","SC","type",4,"Type2","Four-Year")</f>
        <v>102</v>
      </c>
      <c r="I37" s="228">
        <f>GETPIVOTDATA("Sum of New UG E-Learning",'Pivot Table for Fact Book'!$A$3,"State","SC","type",4,"Type2","Four-Year")</f>
        <v>108</v>
      </c>
      <c r="J37" s="227">
        <f>GETPIVOTDATA("Sum of Old UG E-Learning",'Pivot Table for Fact Book'!$A$3,"State","SC","type",5,"Type2","Four-Year")</f>
        <v>4437</v>
      </c>
      <c r="K37" s="228">
        <f>GETPIVOTDATA("Sum of New UG E-Learning",'Pivot Table for Fact Book'!$A$3,"State","SC","type",5,"Type2","Four-Year")</f>
        <v>9468</v>
      </c>
      <c r="L37" s="227">
        <f>GETPIVOTDATA("Sum of Old UG E-Learning",'Pivot Table for Fact Book'!$A$3,"State","SC","type",6,"Type2","Four-Year")</f>
        <v>5937.5</v>
      </c>
      <c r="M37" s="228">
        <f>GETPIVOTDATA("Sum of New UG E-Learning",'Pivot Table for Fact Book'!$A$3,"State","SC","type",6,"Type2","Four-Year")</f>
        <v>15705</v>
      </c>
      <c r="N37" s="227">
        <f>GETPIVOTDATA("Sum of Old UG E-Learning",'Pivot Table for Fact Book'!$A$3,"State","SC","type",15,"Type2","Four-Year")</f>
        <v>0</v>
      </c>
      <c r="O37" s="228">
        <f>GETPIVOTDATA("Sum of New UG E-Learning",'Pivot Table for Fact Book'!$A$3,"State","SC","type",15,"Type2","Four-Year")</f>
        <v>0</v>
      </c>
      <c r="P37" s="229">
        <f>GETPIVOTDATA("Sum of Old UG E-Learning",'Pivot Table for Fact Book'!$A$3,"State","SC","Type2","Four-Year")</f>
        <v>38445.5</v>
      </c>
      <c r="Q37" s="229">
        <f>GETPIVOTDATA("Sum of New UG E-Learning",'Pivot Table for Fact Book'!$A$3,"State","SC","Type2","Four-Year")</f>
        <v>61223</v>
      </c>
      <c r="R37" s="227">
        <f>GETPIVOTDATA("Sum of Old UG E-Learning",'Pivot Table for Fact Book'!$A$3,"State","SC","type",7,"Type2","Two-Year")</f>
        <v>0</v>
      </c>
      <c r="S37" s="230">
        <f>GETPIVOTDATA("Sum of New UG E-Learning",'Pivot Table for Fact Book'!$A$3,"State","SC","type",7,"Type2","Two-Year")</f>
        <v>0</v>
      </c>
      <c r="T37" s="230">
        <f>GETPIVOTDATA("Sum of Old UG E-Learning",'Pivot Table for Fact Book'!$A$3,"State","SC","type",8,"Type2","Two-Year")</f>
        <v>139206</v>
      </c>
      <c r="U37" s="230">
        <f>GETPIVOTDATA("Sum of New UG E-Learning",'Pivot Table for Fact Book'!$A$3,"State","SC","type",8,"Type2","Two-Year")</f>
        <v>176988</v>
      </c>
      <c r="V37" s="230">
        <f>GETPIVOTDATA("Sum of Old UG E-Learning",'Pivot Table for Fact Book'!$A$3,"State","SC","type",9,"Type2","Two-Year")</f>
        <v>156296</v>
      </c>
      <c r="W37" s="230">
        <f>GETPIVOTDATA("Sum of New UG E-Learning",'Pivot Table for Fact Book'!$A$3,"State","SC","type",9,"Type2","Two-Year")</f>
        <v>192078</v>
      </c>
      <c r="X37" s="230">
        <f>GETPIVOTDATA("Sum of Old UG E-Learning",'Pivot Table for Fact Book'!$A$3,"State","SC","type",10,"Type2","Two-Year")</f>
        <v>17237</v>
      </c>
      <c r="Y37" s="230">
        <f>GETPIVOTDATA("Sum of New UG E-Learning",'Pivot Table for Fact Book'!$A$3,"State","SC","type",10,"Type2","Two-Year")</f>
        <v>25381</v>
      </c>
      <c r="Z37" s="231">
        <f>GETPIVOTDATA("Sum of Old UG E-Learning",'Pivot Table for Fact Book'!$A$3,"State","SC","Type2","Two-Year")</f>
        <v>312739</v>
      </c>
      <c r="AA37" s="231">
        <f>GETPIVOTDATA("Sum of New UG E-Learning",'Pivot Table for Fact Book'!$A$3,"State","SC","Type2","Two-Year")</f>
        <v>394447</v>
      </c>
      <c r="AB37" s="227">
        <f>GETPIVOTDATA("Sum of Old UG E-Learning",'Pivot Table for Fact Book'!$A$3,"State","SC","type",12,"Type2","Technical")</f>
        <v>0</v>
      </c>
      <c r="AC37" s="230">
        <f>GETPIVOTDATA("Sum of New UG E-Learning",'Pivot Table for Fact Book'!$A$3,"State","SC","type",12,"Type2","Technical")</f>
        <v>0</v>
      </c>
      <c r="AD37" s="230">
        <f>GETPIVOTDATA("Sum of Old UG E-Learning",'Pivot Table for Fact Book'!$A$3,"State","SC","type",13,"Type2","Technical")</f>
        <v>0</v>
      </c>
      <c r="AE37" s="230">
        <f>GETPIVOTDATA("Sum of New UG E-Learning",'Pivot Table for Fact Book'!$A$3,"State","SC","type",13,"Type2","Technical")</f>
        <v>0</v>
      </c>
      <c r="AF37" s="233">
        <f>GETPIVOTDATA("Sum of Old UG E-Learning",'Pivot Table for Fact Book'!$A$3,"State","SC","Type2","Technical")</f>
        <v>0</v>
      </c>
      <c r="AG37" s="233">
        <f>GETPIVOTDATA("Sum of New UG E-Learning",'Pivot Table for Fact Book'!$A$3,"State","SC","Type2","Technical")</f>
        <v>0</v>
      </c>
      <c r="AH37" s="27"/>
    </row>
    <row r="38" spans="1:34">
      <c r="A38" s="226" t="s">
        <v>665</v>
      </c>
      <c r="B38" s="227">
        <f>GETPIVOTDATA("Sum of Old UG E-Learning",'Pivot Table for Fact Book'!$A$3,"State","TN","type",1,"Type2","Four-Year")</f>
        <v>121365</v>
      </c>
      <c r="C38" s="228">
        <f>GETPIVOTDATA("Sum of New UG E-Learning",'Pivot Table for Fact Book'!$A$3,"State","TN","type",1,"Type2","Four-Year")</f>
        <v>133054</v>
      </c>
      <c r="D38" s="227">
        <f>GETPIVOTDATA("Sum of Old UG E-Learning",'Pivot Table for Fact Book'!$A$3,"State","TN","type",2,"Type2","Four-Year")</f>
        <v>0</v>
      </c>
      <c r="E38" s="228">
        <f>GETPIVOTDATA("Sum of New UG E-Learning",'Pivot Table for Fact Book'!$A$3,"State","TN","type",2,"Type2","Four-Year")</f>
        <v>0</v>
      </c>
      <c r="F38" s="227">
        <f>GETPIVOTDATA("Sum of Old UG E-Learning",'Pivot Table for Fact Book'!$A$3,"State","TN","type",3,"Type2","Four-Year")</f>
        <v>147976</v>
      </c>
      <c r="G38" s="228">
        <f>GETPIVOTDATA("Sum of New UG E-Learning",'Pivot Table for Fact Book'!$A$3,"State","TN","type",3,"Type2","Four-Year")</f>
        <v>157460</v>
      </c>
      <c r="H38" s="227">
        <f>GETPIVOTDATA("Sum of Old UG E-Learning",'Pivot Table for Fact Book'!$A$3,"State","TN","type",4,"Type2","Four-Year")</f>
        <v>56814</v>
      </c>
      <c r="I38" s="228">
        <f>GETPIVOTDATA("Sum of New UG E-Learning",'Pivot Table for Fact Book'!$A$3,"State","TN","type",4,"Type2","Four-Year")</f>
        <v>58047</v>
      </c>
      <c r="J38" s="227">
        <f>GETPIVOTDATA("Sum of Old UG E-Learning",'Pivot Table for Fact Book'!$A$3,"State","TN","type",5,"Type2","Four-Year")</f>
        <v>7747</v>
      </c>
      <c r="K38" s="228">
        <f>GETPIVOTDATA("Sum of New UG E-Learning",'Pivot Table for Fact Book'!$A$3,"State","TN","type",5,"Type2","Four-Year")</f>
        <v>9483</v>
      </c>
      <c r="L38" s="227">
        <f>GETPIVOTDATA("Sum of Old UG E-Learning",'Pivot Table for Fact Book'!$A$3,"State","TN","type",6,"Type2","Four-Year")</f>
        <v>0</v>
      </c>
      <c r="M38" s="228">
        <f>GETPIVOTDATA("Sum of New UG E-Learning",'Pivot Table for Fact Book'!$A$3,"State","TN","type",6,"Type2","Four-Year")</f>
        <v>0</v>
      </c>
      <c r="N38" s="227">
        <f>GETPIVOTDATA("Sum of Old UG E-Learning",'Pivot Table for Fact Book'!$A$3,"State","TN","type",15,"Type2","Four-Year")</f>
        <v>0</v>
      </c>
      <c r="O38" s="228">
        <f>GETPIVOTDATA("Sum of New UG E-Learning",'Pivot Table for Fact Book'!$A$3,"State","TN","type",15,"Type2","Four-Year")</f>
        <v>0</v>
      </c>
      <c r="P38" s="229">
        <f>GETPIVOTDATA("Sum of Old UG E-Learning",'Pivot Table for Fact Book'!$A$3,"State","TN","Type2","Four-Year")</f>
        <v>333902</v>
      </c>
      <c r="Q38" s="229">
        <f>GETPIVOTDATA("Sum of New UG E-Learning",'Pivot Table for Fact Book'!$A$3,"State","TN","Type2","Four-Year")</f>
        <v>358044</v>
      </c>
      <c r="R38" s="227">
        <f>GETPIVOTDATA("Sum of Old UG E-Learning",'Pivot Table for Fact Book'!$A$3,"State","TN","type",7,"Type2","Two-Year")</f>
        <v>0</v>
      </c>
      <c r="S38" s="230">
        <f>GETPIVOTDATA("Sum of New UG E-Learning",'Pivot Table for Fact Book'!$A$3,"State","TN","type",7,"Type2","Two-Year")</f>
        <v>0</v>
      </c>
      <c r="T38" s="230">
        <f>GETPIVOTDATA("Sum of Old UG E-Learning",'Pivot Table for Fact Book'!$A$3,"State","TN","type",8,"Type2","Two-Year")</f>
        <v>82914</v>
      </c>
      <c r="U38" s="230">
        <f>GETPIVOTDATA("Sum of New UG E-Learning",'Pivot Table for Fact Book'!$A$3,"State","TN","type",8,"Type2","Two-Year")</f>
        <v>113994</v>
      </c>
      <c r="V38" s="230">
        <f>GETPIVOTDATA("Sum of Old UG E-Learning",'Pivot Table for Fact Book'!$A$3,"State","TN","type",9,"Type2","Two-Year")</f>
        <v>201657</v>
      </c>
      <c r="W38" s="230">
        <f>GETPIVOTDATA("Sum of New UG E-Learning",'Pivot Table for Fact Book'!$A$3,"State","TN","type",9,"Type2","Two-Year")</f>
        <v>253276</v>
      </c>
      <c r="X38" s="230">
        <f>GETPIVOTDATA("Sum of Old UG E-Learning",'Pivot Table for Fact Book'!$A$3,"State","TN","type",10,"Type2","Two-Year")</f>
        <v>11289</v>
      </c>
      <c r="Y38" s="230">
        <f>GETPIVOTDATA("Sum of New UG E-Learning",'Pivot Table for Fact Book'!$A$3,"State","TN","type",10,"Type2","Two-Year")</f>
        <v>11942</v>
      </c>
      <c r="Z38" s="231">
        <f>GETPIVOTDATA("Sum of Old UG E-Learning",'Pivot Table for Fact Book'!$A$3,"State","TN","Type2","Two-Year")</f>
        <v>295860</v>
      </c>
      <c r="AA38" s="231">
        <f>GETPIVOTDATA("Sum of New UG E-Learning",'Pivot Table for Fact Book'!$A$3,"State","TN","Type2","Two-Year")</f>
        <v>379212</v>
      </c>
      <c r="AB38" s="227">
        <f>GETPIVOTDATA("Sum of Old UG E-Learning",'Pivot Table for Fact Book'!$A$3,"State","TN","type",12,"Type2","Technical")</f>
        <v>0</v>
      </c>
      <c r="AC38" s="230">
        <f>GETPIVOTDATA("Sum of New UG E-Learning",'Pivot Table for Fact Book'!$A$3,"State","TN","type",12,"Type2","Technical")</f>
        <v>0</v>
      </c>
      <c r="AD38" s="230">
        <f>GETPIVOTDATA("Sum of Old UG E-Learning",'Pivot Table for Fact Book'!$A$3,"State","TN","type",13,"Type2","Technical")</f>
        <v>0</v>
      </c>
      <c r="AE38" s="230">
        <f>GETPIVOTDATA("Sum of New UG E-Learning",'Pivot Table for Fact Book'!$A$3,"State","TN","type",13,"Type2","Technical")</f>
        <v>0</v>
      </c>
      <c r="AF38" s="233">
        <f>GETPIVOTDATA("Sum of Old UG E-Learning",'Pivot Table for Fact Book'!$A$3,"State","TN","Type2","Technical")</f>
        <v>0</v>
      </c>
      <c r="AG38" s="233">
        <f>GETPIVOTDATA("Sum of New UG E-Learning",'Pivot Table for Fact Book'!$A$3,"State","TN","Type2","Technical")</f>
        <v>0</v>
      </c>
      <c r="AH38" s="27"/>
    </row>
    <row r="39" spans="1:34">
      <c r="A39" s="226" t="s">
        <v>666</v>
      </c>
      <c r="B39" s="227">
        <f>GETPIVOTDATA("Sum of Old UG E-Learning",'Pivot Table for Fact Book'!$A$3,"State","TX","type",1,"Type2","Four-Year")</f>
        <v>241333</v>
      </c>
      <c r="C39" s="228">
        <f>GETPIVOTDATA("Sum of New UG E-Learning",'Pivot Table for Fact Book'!$A$3,"State","TX","type",1,"Type2","Four-Year")</f>
        <v>264615</v>
      </c>
      <c r="D39" s="227">
        <f>GETPIVOTDATA("Sum of Old UG E-Learning",'Pivot Table for Fact Book'!$A$3,"State","TX","type",2,"Type2","Four-Year")</f>
        <v>62145</v>
      </c>
      <c r="E39" s="228">
        <f>GETPIVOTDATA("Sum of New UG E-Learning",'Pivot Table for Fact Book'!$A$3,"State","TX","type",2,"Type2","Four-Year")</f>
        <v>66914</v>
      </c>
      <c r="F39" s="227">
        <f>GETPIVOTDATA("Sum of Old UG E-Learning",'Pivot Table for Fact Book'!$A$3,"State","TX","type",3,"Type2","Four-Year")</f>
        <v>175167</v>
      </c>
      <c r="G39" s="228">
        <f>GETPIVOTDATA("Sum of New UG E-Learning",'Pivot Table for Fact Book'!$A$3,"State","TX","type",3,"Type2","Four-Year")</f>
        <v>211384</v>
      </c>
      <c r="H39" s="227">
        <f>GETPIVOTDATA("Sum of Old UG E-Learning",'Pivot Table for Fact Book'!$A$3,"State","TX","type",4,"Type2","Four-Year")</f>
        <v>48460</v>
      </c>
      <c r="I39" s="228">
        <f>GETPIVOTDATA("Sum of New UG E-Learning",'Pivot Table for Fact Book'!$A$3,"State","TX","type",4,"Type2","Four-Year")</f>
        <v>58381</v>
      </c>
      <c r="J39" s="227">
        <f>GETPIVOTDATA("Sum of Old UG E-Learning",'Pivot Table for Fact Book'!$A$3,"State","TX","type",5,"Type2","Four-Year")</f>
        <v>30516</v>
      </c>
      <c r="K39" s="228">
        <f>GETPIVOTDATA("Sum of New UG E-Learning",'Pivot Table for Fact Book'!$A$3,"State","TX","type",5,"Type2","Four-Year")</f>
        <v>34902</v>
      </c>
      <c r="L39" s="227">
        <f>GETPIVOTDATA("Sum of Old UG E-Learning",'Pivot Table for Fact Book'!$A$3,"State","TX","type",6,"Type2","Four-Year")</f>
        <v>0</v>
      </c>
      <c r="M39" s="228">
        <f>GETPIVOTDATA("Sum of New UG E-Learning",'Pivot Table for Fact Book'!$A$3,"State","TX","type",6,"Type2","Four-Year")</f>
        <v>0</v>
      </c>
      <c r="N39" s="227">
        <f>GETPIVOTDATA("Sum of Old UG E-Learning",'Pivot Table for Fact Book'!$A$3,"State","TX","type",15,"Type2","Four-Year")</f>
        <v>0</v>
      </c>
      <c r="O39" s="228">
        <f>GETPIVOTDATA("Sum of New UG E-Learning",'Pivot Table for Fact Book'!$A$3,"State","TX","type",15,"Type2","Four-Year")</f>
        <v>0</v>
      </c>
      <c r="P39" s="229">
        <f>GETPIVOTDATA("Sum of Old UG E-Learning",'Pivot Table for Fact Book'!$A$3,"State","TX","Type2","Four-Year")</f>
        <v>557621</v>
      </c>
      <c r="Q39" s="229">
        <f>GETPIVOTDATA("Sum of New UG E-Learning",'Pivot Table for Fact Book'!$A$3,"State","TX","Type2","Four-Year")</f>
        <v>636196</v>
      </c>
      <c r="R39" s="227">
        <f>GETPIVOTDATA("Sum of Old UG E-Learning",'Pivot Table for Fact Book'!$A$3,"State","TX","type",7,"Type2","Two-Year")</f>
        <v>81072</v>
      </c>
      <c r="S39" s="230">
        <f>GETPIVOTDATA("Sum of New UG E-Learning",'Pivot Table for Fact Book'!$A$3,"State","TX","type",7,"Type2","Two-Year")</f>
        <v>98090</v>
      </c>
      <c r="T39" s="230">
        <f>GETPIVOTDATA("Sum of Old UG E-Learning",'Pivot Table for Fact Book'!$A$3,"State","TX","type",8,"Type2","Two-Year")</f>
        <v>1237032</v>
      </c>
      <c r="U39" s="230">
        <f>GETPIVOTDATA("Sum of New UG E-Learning",'Pivot Table for Fact Book'!$A$3,"State","TX","type",8,"Type2","Two-Year")</f>
        <v>1434589</v>
      </c>
      <c r="V39" s="230">
        <f>GETPIVOTDATA("Sum of Old UG E-Learning",'Pivot Table for Fact Book'!$A$3,"State","TX","type",9,"Type2","Two-Year")</f>
        <v>393137</v>
      </c>
      <c r="W39" s="230">
        <f>GETPIVOTDATA("Sum of New UG E-Learning",'Pivot Table for Fact Book'!$A$3,"State","TX","type",9,"Type2","Two-Year")</f>
        <v>482549</v>
      </c>
      <c r="X39" s="230">
        <f>GETPIVOTDATA("Sum of Old UG E-Learning",'Pivot Table for Fact Book'!$A$3,"State","TX","type",10,"Type2","Two-Year")</f>
        <v>114178</v>
      </c>
      <c r="Y39" s="230">
        <f>GETPIVOTDATA("Sum of New UG E-Learning",'Pivot Table for Fact Book'!$A$3,"State","TX","type",10,"Type2","Two-Year")</f>
        <v>140023</v>
      </c>
      <c r="Z39" s="231">
        <f>GETPIVOTDATA("Sum of Old UG E-Learning",'Pivot Table for Fact Book'!$A$3,"State","TX","Type2","Two-Year")</f>
        <v>1825419</v>
      </c>
      <c r="AA39" s="231">
        <f>GETPIVOTDATA("Sum of New UG E-Learning",'Pivot Table for Fact Book'!$A$3,"State","TX","Type2","Two-Year")</f>
        <v>2155251</v>
      </c>
      <c r="AB39" s="227">
        <f>GETPIVOTDATA("Sum of Old UG E-Learning",'Pivot Table for Fact Book'!$A$3,"State","TX","type",12,"Type2","Technical")</f>
        <v>0</v>
      </c>
      <c r="AC39" s="230">
        <f>GETPIVOTDATA("Sum of New UG E-Learning",'Pivot Table for Fact Book'!$A$3,"State","TX","type",12,"Type2","Technical")</f>
        <v>0</v>
      </c>
      <c r="AD39" s="230">
        <f>GETPIVOTDATA("Sum of Old UG E-Learning",'Pivot Table for Fact Book'!$A$3,"State","TX","type",13,"Type2","Technical")</f>
        <v>0</v>
      </c>
      <c r="AE39" s="230">
        <f>GETPIVOTDATA("Sum of New UG E-Learning",'Pivot Table for Fact Book'!$A$3,"State","TX","type",13,"Type2","Technical")</f>
        <v>0</v>
      </c>
      <c r="AF39" s="233">
        <f>GETPIVOTDATA("Sum of Old UG E-Learning",'Pivot Table for Fact Book'!$A$3,"State","TX","Type2","Technical")</f>
        <v>0</v>
      </c>
      <c r="AG39" s="233">
        <f>GETPIVOTDATA("Sum of New UG E-Learning",'Pivot Table for Fact Book'!$A$3,"State","TX","Type2","Technical")</f>
        <v>0</v>
      </c>
      <c r="AH39" s="27"/>
    </row>
    <row r="40" spans="1:34">
      <c r="A40" s="226" t="s">
        <v>667</v>
      </c>
      <c r="B40" s="227">
        <f>GETPIVOTDATA("Sum of Old UG E-Learning",'Pivot Table for Fact Book'!$A$3,"State","VA","type",1,"Type2","Four-Year")</f>
        <v>0</v>
      </c>
      <c r="C40" s="228">
        <f>GETPIVOTDATA("Sum of New UG E-Learning",'Pivot Table for Fact Book'!$A$3,"State","VA","type",1,"Type2","Four-Year")</f>
        <v>0</v>
      </c>
      <c r="D40" s="227">
        <f>GETPIVOTDATA("Sum of Old UG E-Learning",'Pivot Table for Fact Book'!$A$3,"State","VA","type",2,"Type2","Four-Year")</f>
        <v>0</v>
      </c>
      <c r="E40" s="228">
        <f>GETPIVOTDATA("Sum of New UG E-Learning",'Pivot Table for Fact Book'!$A$3,"State","VA","type",2,"Type2","Four-Year")</f>
        <v>0</v>
      </c>
      <c r="F40" s="227">
        <f>GETPIVOTDATA("Sum of Old UG E-Learning",'Pivot Table for Fact Book'!$A$3,"State","VA","type",3,"Type2","Four-Year")</f>
        <v>0</v>
      </c>
      <c r="G40" s="228">
        <f>GETPIVOTDATA("Sum of New UG E-Learning",'Pivot Table for Fact Book'!$A$3,"State","VA","type",3,"Type2","Four-Year")</f>
        <v>0</v>
      </c>
      <c r="H40" s="227">
        <f>GETPIVOTDATA("Sum of Old UG E-Learning",'Pivot Table for Fact Book'!$A$3,"State","VA","type",4,"Type2","Four-Year")</f>
        <v>0</v>
      </c>
      <c r="I40" s="228">
        <f>GETPIVOTDATA("Sum of New UG E-Learning",'Pivot Table for Fact Book'!$A$3,"State","VA","type",4,"Type2","Four-Year")</f>
        <v>0</v>
      </c>
      <c r="J40" s="227">
        <f>GETPIVOTDATA("Sum of Old UG E-Learning",'Pivot Table for Fact Book'!$A$3,"State","VA","type",5,"Type2","Four-Year")</f>
        <v>0</v>
      </c>
      <c r="K40" s="228">
        <f>GETPIVOTDATA("Sum of New UG E-Learning",'Pivot Table for Fact Book'!$A$3,"State","VA","type",5,"Type2","Four-Year")</f>
        <v>0</v>
      </c>
      <c r="L40" s="227">
        <f>GETPIVOTDATA("Sum of Old UG E-Learning",'Pivot Table for Fact Book'!$A$3,"State","VA","type",6,"Type2","Four-Year")</f>
        <v>0</v>
      </c>
      <c r="M40" s="228">
        <f>GETPIVOTDATA("Sum of New UG E-Learning",'Pivot Table for Fact Book'!$A$3,"State","VA","type",6,"Type2","Four-Year")</f>
        <v>0</v>
      </c>
      <c r="N40" s="227">
        <f>GETPIVOTDATA("Sum of Old UG E-Learning",'Pivot Table for Fact Book'!$A$3,"State","VA","type",15,"Type2","Four-Year")</f>
        <v>0</v>
      </c>
      <c r="O40" s="228">
        <f>GETPIVOTDATA("Sum of New UG E-Learning",'Pivot Table for Fact Book'!$A$3,"State","VA","type",15,"Type2","Four-Year")</f>
        <v>0</v>
      </c>
      <c r="P40" s="229">
        <f>GETPIVOTDATA("Sum of Old UG E-Learning",'Pivot Table for Fact Book'!$A$3,"State","VA","Type2","Four-Year")</f>
        <v>0</v>
      </c>
      <c r="Q40" s="229">
        <f>GETPIVOTDATA("Sum of New UG E-Learning",'Pivot Table for Fact Book'!$A$3,"State","VA","Type2","Four-Year")</f>
        <v>0</v>
      </c>
      <c r="R40" s="227">
        <f>GETPIVOTDATA("Sum of Old UG E-Learning",'Pivot Table for Fact Book'!$A$3,"State","VA","type",7,"Type2","Two-Year")</f>
        <v>0</v>
      </c>
      <c r="S40" s="230">
        <f>GETPIVOTDATA("Sum of New UG E-Learning",'Pivot Table for Fact Book'!$A$3,"State","VA","type",7,"Type2","Two-Year")</f>
        <v>0</v>
      </c>
      <c r="T40" s="230">
        <f>GETPIVOTDATA("Sum of Old UG E-Learning",'Pivot Table for Fact Book'!$A$3,"State","VA","type",8,"Type2","Two-Year")</f>
        <v>0</v>
      </c>
      <c r="U40" s="230">
        <f>GETPIVOTDATA("Sum of New UG E-Learning",'Pivot Table for Fact Book'!$A$3,"State","VA","type",8,"Type2","Two-Year")</f>
        <v>0</v>
      </c>
      <c r="V40" s="230">
        <f>GETPIVOTDATA("Sum of Old UG E-Learning",'Pivot Table for Fact Book'!$A$3,"State","VA","type",9,"Type2","Two-Year")</f>
        <v>0</v>
      </c>
      <c r="W40" s="230">
        <f>GETPIVOTDATA("Sum of New UG E-Learning",'Pivot Table for Fact Book'!$A$3,"State","VA","type",9,"Type2","Two-Year")</f>
        <v>0</v>
      </c>
      <c r="X40" s="230">
        <f>GETPIVOTDATA("Sum of Old UG E-Learning",'Pivot Table for Fact Book'!$A$3,"State","VA","type",10,"Type2","Two-Year")</f>
        <v>0</v>
      </c>
      <c r="Y40" s="230">
        <f>GETPIVOTDATA("Sum of New UG E-Learning",'Pivot Table for Fact Book'!$A$3,"State","VA","type",10,"Type2","Two-Year")</f>
        <v>0</v>
      </c>
      <c r="Z40" s="231">
        <f>GETPIVOTDATA("Sum of Old UG E-Learning",'Pivot Table for Fact Book'!$A$3,"State","VA","Type2","Two-Year")</f>
        <v>0</v>
      </c>
      <c r="AA40" s="231">
        <f>GETPIVOTDATA("Sum of New UG E-Learning",'Pivot Table for Fact Book'!$A$3,"State","VA","Type2","Two-Year")</f>
        <v>0</v>
      </c>
      <c r="AB40" s="227">
        <f>GETPIVOTDATA("Sum of Old UG E-Learning",'Pivot Table for Fact Book'!$A$3,"State","VA","type",12,"Type2","Technical")</f>
        <v>0</v>
      </c>
      <c r="AC40" s="230">
        <f>GETPIVOTDATA("Sum of New UG E-Learning",'Pivot Table for Fact Book'!$A$3,"State","VA","type",12,"Type2","Technical")</f>
        <v>0</v>
      </c>
      <c r="AD40" s="230">
        <f>GETPIVOTDATA("Sum of Old UG E-Learning",'Pivot Table for Fact Book'!$A$3,"State","VA","type",13,"Type2","Technical")</f>
        <v>0</v>
      </c>
      <c r="AE40" s="230">
        <f>GETPIVOTDATA("Sum of New UG E-Learning",'Pivot Table for Fact Book'!$A$3,"State","VA","type",13,"Type2","Technical")</f>
        <v>0</v>
      </c>
      <c r="AF40" s="233">
        <f>GETPIVOTDATA("Sum of Old UG E-Learning",'Pivot Table for Fact Book'!$A$3,"State","VA","Type2","Technical")</f>
        <v>0</v>
      </c>
      <c r="AG40" s="233">
        <f>GETPIVOTDATA("Sum of New UG E-Learning",'Pivot Table for Fact Book'!$A$3,"State","VA","Type2","Technical")</f>
        <v>0</v>
      </c>
      <c r="AH40" s="27"/>
    </row>
    <row r="41" spans="1:34">
      <c r="A41" s="226" t="s">
        <v>668</v>
      </c>
      <c r="B41" s="227">
        <f>GETPIVOTDATA("Sum of Old UG E-Learning",'Pivot Table for Fact Book'!$A$3,"State","WV","type",1,"Type2","Four-Year")</f>
        <v>31542</v>
      </c>
      <c r="C41" s="228">
        <f>GETPIVOTDATA("Sum of New UG E-Learning",'Pivot Table for Fact Book'!$A$3,"State","WV","type",1,"Type2","Four-Year")</f>
        <v>38943</v>
      </c>
      <c r="D41" s="227">
        <f>GETPIVOTDATA("Sum of Old UG E-Learning",'Pivot Table for Fact Book'!$A$3,"State","WV","type",2,"Type2","Four-Year")</f>
        <v>0</v>
      </c>
      <c r="E41" s="228">
        <f>GETPIVOTDATA("Sum of New UG E-Learning",'Pivot Table for Fact Book'!$A$3,"State","WV","type",2,"Type2","Four-Year")</f>
        <v>0</v>
      </c>
      <c r="F41" s="227">
        <f>GETPIVOTDATA("Sum of Old UG E-Learning",'Pivot Table for Fact Book'!$A$3,"State","WV","type",3,"Type2","Four-Year")</f>
        <v>29896</v>
      </c>
      <c r="G41" s="228">
        <f>GETPIVOTDATA("Sum of New UG E-Learning",'Pivot Table for Fact Book'!$A$3,"State","WV","type",3,"Type2","Four-Year")</f>
        <v>31400</v>
      </c>
      <c r="H41" s="227">
        <f>GETPIVOTDATA("Sum of Old UG E-Learning",'Pivot Table for Fact Book'!$A$3,"State","WV","type",4,"Type2","Four-Year")</f>
        <v>0</v>
      </c>
      <c r="I41" s="228">
        <f>GETPIVOTDATA("Sum of New UG E-Learning",'Pivot Table for Fact Book'!$A$3,"State","WV","type",4,"Type2","Four-Year")</f>
        <v>0</v>
      </c>
      <c r="J41" s="227">
        <f>GETPIVOTDATA("Sum of Old UG E-Learning",'Pivot Table for Fact Book'!$A$3,"State","WV","type",5,"Type2","Four-Year")</f>
        <v>11050</v>
      </c>
      <c r="K41" s="228">
        <f>GETPIVOTDATA("Sum of New UG E-Learning",'Pivot Table for Fact Book'!$A$3,"State","WV","type",5,"Type2","Four-Year")</f>
        <v>13015</v>
      </c>
      <c r="L41" s="227">
        <f>GETPIVOTDATA("Sum of Old UG E-Learning",'Pivot Table for Fact Book'!$A$3,"State","WV","type",6,"Type2","Four-Year")</f>
        <v>23802</v>
      </c>
      <c r="M41" s="228">
        <f>GETPIVOTDATA("Sum of New UG E-Learning",'Pivot Table for Fact Book'!$A$3,"State","WV","type",6,"Type2","Four-Year")</f>
        <v>31870</v>
      </c>
      <c r="N41" s="227">
        <f>GETPIVOTDATA("Sum of Old UG E-Learning",'Pivot Table for Fact Book'!$A$3,"State","WV","type",15,"Type2","Four-Year")</f>
        <v>0</v>
      </c>
      <c r="O41" s="228">
        <f>GETPIVOTDATA("Sum of New UG E-Learning",'Pivot Table for Fact Book'!$A$3,"State","WV","type",15,"Type2","Four-Year")</f>
        <v>0</v>
      </c>
      <c r="P41" s="229">
        <f>GETPIVOTDATA("Sum of Old UG E-Learning",'Pivot Table for Fact Book'!$A$3,"State","WV","Type2","Four-Year")</f>
        <v>96290</v>
      </c>
      <c r="Q41" s="229">
        <f>GETPIVOTDATA("Sum of New UG E-Learning",'Pivot Table for Fact Book'!$A$3,"State","WV","Type2","Four-Year")</f>
        <v>115228</v>
      </c>
      <c r="R41" s="227">
        <f>GETPIVOTDATA("Sum of Old UG E-Learning",'Pivot Table for Fact Book'!$A$3,"State","WV","type",7,"Type2","Two-Year")</f>
        <v>18270</v>
      </c>
      <c r="S41" s="230">
        <f>GETPIVOTDATA("Sum of New UG E-Learning",'Pivot Table for Fact Book'!$A$3,"State","WV","type",7,"Type2","Two-Year")</f>
        <v>21874</v>
      </c>
      <c r="T41" s="230">
        <f>GETPIVOTDATA("Sum of Old UG E-Learning",'Pivot Table for Fact Book'!$A$3,"State","WV","type",8,"Type2","Two-Year")</f>
        <v>0</v>
      </c>
      <c r="U41" s="230">
        <f>GETPIVOTDATA("Sum of New UG E-Learning",'Pivot Table for Fact Book'!$A$3,"State","WV","type",8,"Type2","Two-Year")</f>
        <v>0</v>
      </c>
      <c r="V41" s="230">
        <f>GETPIVOTDATA("Sum of Old UG E-Learning",'Pivot Table for Fact Book'!$A$3,"State","WV","type",9,"Type2","Two-Year")</f>
        <v>0</v>
      </c>
      <c r="W41" s="230">
        <f>GETPIVOTDATA("Sum of New UG E-Learning",'Pivot Table for Fact Book'!$A$3,"State","WV","type",9,"Type2","Two-Year")</f>
        <v>0</v>
      </c>
      <c r="X41" s="230">
        <f>GETPIVOTDATA("Sum of Old UG E-Learning",'Pivot Table for Fact Book'!$A$3,"State","WV","type",10,"Type2","Two-Year")</f>
        <v>42124</v>
      </c>
      <c r="Y41" s="230">
        <f>GETPIVOTDATA("Sum of New UG E-Learning",'Pivot Table for Fact Book'!$A$3,"State","WV","type",10,"Type2","Two-Year")</f>
        <v>57459</v>
      </c>
      <c r="Z41" s="231">
        <f>GETPIVOTDATA("Sum of Old UG E-Learning",'Pivot Table for Fact Book'!$A$3,"State","WV","Type2","Two-Year")</f>
        <v>60394</v>
      </c>
      <c r="AA41" s="231">
        <f>GETPIVOTDATA("Sum of New UG E-Learning",'Pivot Table for Fact Book'!$A$3,"State","WV","Type2","Two-Year")</f>
        <v>79333</v>
      </c>
      <c r="AB41" s="227">
        <f>GETPIVOTDATA("Sum of Old UG E-Learning",'Pivot Table for Fact Book'!$A$3,"State","WV","type",12,"Type2","Technical")</f>
        <v>0</v>
      </c>
      <c r="AC41" s="230">
        <f>GETPIVOTDATA("Sum of New UG E-Learning",'Pivot Table for Fact Book'!$A$3,"State","WV","type",12,"Type2","Technical")</f>
        <v>0</v>
      </c>
      <c r="AD41" s="230">
        <f>GETPIVOTDATA("Sum of Old UG E-Learning",'Pivot Table for Fact Book'!$A$3,"State","WV","type",13,"Type2","Technical")</f>
        <v>0</v>
      </c>
      <c r="AE41" s="230">
        <f>GETPIVOTDATA("Sum of New UG E-Learning",'Pivot Table for Fact Book'!$A$3,"State","WV","type",13,"Type2","Technical")</f>
        <v>0</v>
      </c>
      <c r="AF41" s="233">
        <f>GETPIVOTDATA("Sum of Old UG E-Learning",'Pivot Table for Fact Book'!$A$3,"State","WV","Type2","Technical")</f>
        <v>0</v>
      </c>
      <c r="AG41" s="233">
        <f>GETPIVOTDATA("Sum of New UG E-Learning",'Pivot Table for Fact Book'!$A$3,"State","WV","Type2","Technical")</f>
        <v>0</v>
      </c>
      <c r="AH41" s="27"/>
    </row>
    <row r="43" spans="1:34">
      <c r="A43" s="77" t="s">
        <v>712</v>
      </c>
    </row>
    <row r="44" spans="1:34">
      <c r="B44" s="211" t="s">
        <v>707</v>
      </c>
      <c r="C44" s="212"/>
      <c r="D44" s="212"/>
      <c r="E44" s="212"/>
      <c r="F44" s="212"/>
      <c r="G44" s="212"/>
      <c r="H44" s="212"/>
      <c r="I44" s="212"/>
      <c r="J44" s="212"/>
      <c r="K44" s="212"/>
      <c r="L44" s="212"/>
      <c r="M44" s="212"/>
      <c r="N44" s="212"/>
      <c r="O44" s="212"/>
      <c r="P44" s="212"/>
      <c r="Q44" s="213"/>
      <c r="R44" s="214" t="s">
        <v>708</v>
      </c>
      <c r="S44" s="215"/>
      <c r="T44" s="215"/>
      <c r="U44" s="215"/>
      <c r="V44" s="215"/>
      <c r="W44" s="215"/>
      <c r="X44" s="215"/>
      <c r="Y44" s="215"/>
      <c r="Z44" s="215"/>
      <c r="AA44" s="216"/>
      <c r="AB44" s="217" t="s">
        <v>709</v>
      </c>
      <c r="AC44" s="218"/>
      <c r="AD44" s="218"/>
      <c r="AE44" s="218"/>
      <c r="AF44" s="218"/>
      <c r="AG44" s="218"/>
    </row>
    <row r="45" spans="1:34">
      <c r="B45" s="219">
        <v>1</v>
      </c>
      <c r="C45" s="220"/>
      <c r="D45" s="219">
        <v>2</v>
      </c>
      <c r="E45" s="220"/>
      <c r="F45" s="219">
        <v>3</v>
      </c>
      <c r="G45" s="220"/>
      <c r="H45" s="219">
        <v>4</v>
      </c>
      <c r="I45" s="220"/>
      <c r="J45" s="219">
        <v>5</v>
      </c>
      <c r="K45" s="220"/>
      <c r="L45" s="219">
        <v>6</v>
      </c>
      <c r="M45" s="220"/>
      <c r="N45" s="219">
        <v>15</v>
      </c>
      <c r="O45" s="220"/>
      <c r="P45" s="219" t="s">
        <v>710</v>
      </c>
      <c r="Q45" s="221"/>
      <c r="R45" s="222">
        <v>7</v>
      </c>
      <c r="S45" s="223"/>
      <c r="T45" s="222">
        <v>8</v>
      </c>
      <c r="U45" s="223"/>
      <c r="V45" s="222">
        <v>9</v>
      </c>
      <c r="W45" s="223"/>
      <c r="X45" s="222">
        <v>10</v>
      </c>
      <c r="Y45" s="223"/>
      <c r="Z45" s="222" t="s">
        <v>710</v>
      </c>
      <c r="AA45" s="223"/>
      <c r="AB45" s="224">
        <v>12</v>
      </c>
      <c r="AC45" s="225"/>
      <c r="AD45" s="224">
        <v>13</v>
      </c>
      <c r="AE45" s="225"/>
      <c r="AF45" s="224" t="s">
        <v>710</v>
      </c>
      <c r="AG45" s="225"/>
    </row>
    <row r="46" spans="1:34">
      <c r="B46" s="602">
        <v>2009</v>
      </c>
      <c r="C46" s="603">
        <v>2010</v>
      </c>
      <c r="D46" s="602">
        <v>2009</v>
      </c>
      <c r="E46" s="603">
        <v>2010</v>
      </c>
      <c r="F46" s="602">
        <v>2009</v>
      </c>
      <c r="G46" s="603">
        <v>2010</v>
      </c>
      <c r="H46" s="602">
        <v>2009</v>
      </c>
      <c r="I46" s="603">
        <v>2010</v>
      </c>
      <c r="J46" s="602">
        <v>2009</v>
      </c>
      <c r="K46" s="603">
        <v>2010</v>
      </c>
      <c r="L46" s="602">
        <v>2009</v>
      </c>
      <c r="M46" s="603">
        <v>2010</v>
      </c>
      <c r="N46" s="602">
        <v>2009</v>
      </c>
      <c r="O46" s="603">
        <v>2010</v>
      </c>
      <c r="P46" s="602">
        <v>2009</v>
      </c>
      <c r="Q46" s="603">
        <v>2010</v>
      </c>
      <c r="R46" s="604">
        <v>2009</v>
      </c>
      <c r="S46" s="605">
        <v>2010</v>
      </c>
      <c r="T46" s="604">
        <v>2009</v>
      </c>
      <c r="U46" s="605">
        <v>2010</v>
      </c>
      <c r="V46" s="604">
        <v>2009</v>
      </c>
      <c r="W46" s="605">
        <v>2010</v>
      </c>
      <c r="X46" s="604">
        <v>2009</v>
      </c>
      <c r="Y46" s="605">
        <v>2010</v>
      </c>
      <c r="Z46" s="604">
        <v>2009</v>
      </c>
      <c r="AA46" s="605">
        <v>2010</v>
      </c>
      <c r="AB46" s="606">
        <v>2009</v>
      </c>
      <c r="AC46" s="607">
        <v>2010</v>
      </c>
      <c r="AD46" s="606">
        <v>2009</v>
      </c>
      <c r="AE46" s="607">
        <v>2010</v>
      </c>
      <c r="AF46" s="606">
        <v>2009</v>
      </c>
      <c r="AG46" s="607">
        <v>2010</v>
      </c>
      <c r="AH46" s="27"/>
    </row>
    <row r="47" spans="1:34">
      <c r="A47" s="226" t="s">
        <v>653</v>
      </c>
      <c r="B47" s="227">
        <f>GETPIVOTDATA("Sum of Old-Tot G SCH Calc",'Pivot Table for Fact Book'!$A$3,"State","AL","type",1,"Type2","Four-Year")</f>
        <v>215682</v>
      </c>
      <c r="C47" s="228">
        <f>GETPIVOTDATA("Sum of New-Tot G SCH Calc",'Pivot Table for Fact Book'!$A$3,"State","AL","type",1,"Type2","Four-Year")</f>
        <v>203101</v>
      </c>
      <c r="D47" s="227">
        <f>GETPIVOTDATA("Sum of Old-Tot G SCH Calc",'Pivot Table for Fact Book'!$A$3,"State","AL","type",2,"Type2","Four-Year")</f>
        <v>21246</v>
      </c>
      <c r="E47" s="228">
        <f>GETPIVOTDATA("Sum of New-Tot G SCH Calc",'Pivot Table for Fact Book'!$A$3,"State","AL","type",2,"Type2","Four-Year")</f>
        <v>21141</v>
      </c>
      <c r="F47" s="227">
        <f>GETPIVOTDATA("Sum of Old-Tot G SCH Calc",'Pivot Table for Fact Book'!$A$3,"State","AL","type",3,"Type2","Four-Year")</f>
        <v>95672</v>
      </c>
      <c r="G47" s="228">
        <f>GETPIVOTDATA("Sum of New-Tot G SCH Calc",'Pivot Table for Fact Book'!$A$3,"State","AL","type",3,"Type2","Four-Year")</f>
        <v>90071</v>
      </c>
      <c r="H47" s="227">
        <f>GETPIVOTDATA("Sum of Old-Tot G SCH Calc",'Pivot Table for Fact Book'!$A$3,"State","AL","type",4,"Type2","Four-Year")</f>
        <v>54027</v>
      </c>
      <c r="I47" s="228">
        <f>GETPIVOTDATA("Sum of New-Tot G SCH Calc",'Pivot Table for Fact Book'!$A$3,"State","AL","type",4,"Type2","Four-Year")</f>
        <v>46787.5</v>
      </c>
      <c r="J47" s="227">
        <f>GETPIVOTDATA("Sum of Old-Tot G SCH Calc",'Pivot Table for Fact Book'!$A$3,"State","AL","type",5,"Type2","Four-Year")</f>
        <v>49553</v>
      </c>
      <c r="K47" s="228">
        <f>GETPIVOTDATA("Sum of New-Tot G SCH Calc",'Pivot Table for Fact Book'!$A$3,"State","AL","type",5,"Type2","Four-Year")</f>
        <v>95000</v>
      </c>
      <c r="L47" s="227">
        <f>GETPIVOTDATA("Sum of Old-Tot G SCH Calc",'Pivot Table for Fact Book'!$A$3,"State","AL","type",6,"Type2","Four-Year")</f>
        <v>0</v>
      </c>
      <c r="M47" s="228">
        <f>GETPIVOTDATA("Sum of New-Tot G SCH Calc",'Pivot Table for Fact Book'!$A$3,"State","AL","type",6,"Type2","Four-Year")</f>
        <v>0</v>
      </c>
      <c r="N47" s="227">
        <f>GETPIVOTDATA("Sum of Old-Tot G SCH Calc",'Pivot Table for Fact Book'!$A$3,"State","AL","type",15,"Type2","Four-Year")</f>
        <v>0</v>
      </c>
      <c r="O47" s="228">
        <f>GETPIVOTDATA("Sum of New-Tot G SCH Calc",'Pivot Table for Fact Book'!$A$3,"State","AL","type",15,"Type2","Four-Year")</f>
        <v>0</v>
      </c>
      <c r="P47" s="229">
        <f>GETPIVOTDATA("Sum of Old-Tot G SCH Calc",'Pivot Table for Fact Book'!$A$3,"State","AL","Type2","Four-Year")</f>
        <v>436180</v>
      </c>
      <c r="Q47" s="229">
        <f>GETPIVOTDATA("Sum of New-Tot G SCH Calc",'Pivot Table for Fact Book'!$A$3,"State","AL","Type2","Four-Year")</f>
        <v>456100.5</v>
      </c>
      <c r="R47" s="227">
        <f>GETPIVOTDATA("Sum of Old-Tot G SCH Calc",'Pivot Table for Fact Book'!$A$3,"State","AL","type",7,"Type2","Two-Year")</f>
        <v>0</v>
      </c>
      <c r="S47" s="230">
        <f>GETPIVOTDATA("Sum of New-Tot G SCH Calc",'Pivot Table for Fact Book'!$A$3,"State","AL","type",7,"Type2","Two-Year")</f>
        <v>0</v>
      </c>
      <c r="T47" s="230">
        <f>GETPIVOTDATA("Sum of Old-Tot G SCH Calc",'Pivot Table for Fact Book'!$A$3,"State","AL","type",8,"Type2","Two-Year")</f>
        <v>0</v>
      </c>
      <c r="U47" s="230">
        <f>GETPIVOTDATA("Sum of New-Tot G SCH Calc",'Pivot Table for Fact Book'!$A$3,"State","AL","type",8,"Type2","Two-Year")</f>
        <v>0</v>
      </c>
      <c r="V47" s="230">
        <f>GETPIVOTDATA("Sum of Old-Tot G SCH Calc",'Pivot Table for Fact Book'!$A$3,"State","AL","type",9,"Type2","Two-Year")</f>
        <v>0</v>
      </c>
      <c r="W47" s="230">
        <f>GETPIVOTDATA("Sum of New-Tot G SCH Calc",'Pivot Table for Fact Book'!$A$3,"State","AL","type",9,"Type2","Two-Year")</f>
        <v>0</v>
      </c>
      <c r="X47" s="230">
        <f>GETPIVOTDATA("Sum of Old-Tot G SCH Calc",'Pivot Table for Fact Book'!$A$3,"State","AL","type",10,"Type2","Two-Year")</f>
        <v>0</v>
      </c>
      <c r="Y47" s="230">
        <f>GETPIVOTDATA("Sum of New-Tot G SCH Calc",'Pivot Table for Fact Book'!$A$3,"State","AL","type",10,"Type2","Two-Year")</f>
        <v>0</v>
      </c>
      <c r="Z47" s="231">
        <f>GETPIVOTDATA("Sum of Old-Tot G SCH Calc",'Pivot Table for Fact Book'!$A$3,"State","AL","Type2","Two-Year")</f>
        <v>0</v>
      </c>
      <c r="AA47" s="231">
        <f>GETPIVOTDATA("Sum of New-Tot G SCH Calc",'Pivot Table for Fact Book'!$A$3,"State","AL","Type2","Two-Year")</f>
        <v>0</v>
      </c>
      <c r="AB47" s="227">
        <f>GETPIVOTDATA("Sum of Old-Tot G SCH Calc",'Pivot Table for Fact Book'!$A$3,"State","AL","type",12,"Type2","Technical")</f>
        <v>0</v>
      </c>
      <c r="AC47" s="230">
        <f>GETPIVOTDATA("Sum of New-Tot G SCH Calc",'Pivot Table for Fact Book'!$A$3,"State","AL","type",12,"Type2","Technical")</f>
        <v>0</v>
      </c>
      <c r="AD47" s="230">
        <f>GETPIVOTDATA("Sum of Old-Tot G SCH Calc",'Pivot Table for Fact Book'!$A$3,"State","AL","type",13,"Type2","Technical")</f>
        <v>0</v>
      </c>
      <c r="AE47" s="230">
        <f>GETPIVOTDATA("Sum of New-Tot G SCH Calc",'Pivot Table for Fact Book'!$A$3,"State","AL","type",13,"Type2","Technical")</f>
        <v>0</v>
      </c>
      <c r="AF47" s="233">
        <f>GETPIVOTDATA("Sum of Old-Tot G SCH Calc",'Pivot Table for Fact Book'!$A$3,"State","AL","Type2","Technical")</f>
        <v>0</v>
      </c>
      <c r="AG47" s="233">
        <f>GETPIVOTDATA("Sum of New-Tot G SCH Calc",'Pivot Table for Fact Book'!$A$3,"State","AL","Type2","Technical")</f>
        <v>0</v>
      </c>
      <c r="AH47" s="27"/>
    </row>
    <row r="48" spans="1:34">
      <c r="A48" s="226" t="s">
        <v>654</v>
      </c>
      <c r="B48" s="227">
        <f>GETPIVOTDATA("Sum of Old-Tot G SCH Calc",'Pivot Table for Fact Book'!$A$3,"State","AR","type",1,"Type2","Four-Year")</f>
        <v>69769</v>
      </c>
      <c r="C48" s="228">
        <f>GETPIVOTDATA("Sum of New-Tot G SCH Calc",'Pivot Table for Fact Book'!$A$3,"State","AR","type",1,"Type2","Four-Year")</f>
        <v>72232</v>
      </c>
      <c r="D48" s="227">
        <f>GETPIVOTDATA("Sum of Old-Tot G SCH Calc",'Pivot Table for Fact Book'!$A$3,"State","AR","type",2,"Type2","Four-Year")</f>
        <v>0</v>
      </c>
      <c r="E48" s="228">
        <f>GETPIVOTDATA("Sum of New-Tot G SCH Calc",'Pivot Table for Fact Book'!$A$3,"State","AR","type",2,"Type2","Four-Year")</f>
        <v>0</v>
      </c>
      <c r="F48" s="227">
        <f>GETPIVOTDATA("Sum of Old-Tot G SCH Calc",'Pivot Table for Fact Book'!$A$3,"State","AR","type",3,"Type2","Four-Year")</f>
        <v>112811</v>
      </c>
      <c r="G48" s="228">
        <f>GETPIVOTDATA("Sum of New-Tot G SCH Calc",'Pivot Table for Fact Book'!$A$3,"State","AR","type",3,"Type2","Four-Year")</f>
        <v>127114</v>
      </c>
      <c r="H48" s="227">
        <f>GETPIVOTDATA("Sum of Old-Tot G SCH Calc",'Pivot Table for Fact Book'!$A$3,"State","AR","type",4,"Type2","Four-Year")</f>
        <v>20987</v>
      </c>
      <c r="I48" s="228">
        <f>GETPIVOTDATA("Sum of New-Tot G SCH Calc",'Pivot Table for Fact Book'!$A$3,"State","AR","type",4,"Type2","Four-Year")</f>
        <v>20858</v>
      </c>
      <c r="J48" s="227">
        <f>GETPIVOTDATA("Sum of Old-Tot G SCH Calc",'Pivot Table for Fact Book'!$A$3,"State","AR","type",5,"Type2","Four-Year")</f>
        <v>9625</v>
      </c>
      <c r="K48" s="228">
        <f>GETPIVOTDATA("Sum of New-Tot G SCH Calc",'Pivot Table for Fact Book'!$A$3,"State","AR","type",5,"Type2","Four-Year")</f>
        <v>10277</v>
      </c>
      <c r="L48" s="227">
        <f>GETPIVOTDATA("Sum of Old-Tot G SCH Calc",'Pivot Table for Fact Book'!$A$3,"State","AR","type",6,"Type2","Four-Year")</f>
        <v>2046</v>
      </c>
      <c r="M48" s="228">
        <f>GETPIVOTDATA("Sum of New-Tot G SCH Calc",'Pivot Table for Fact Book'!$A$3,"State","AR","type",6,"Type2","Four-Year")</f>
        <v>2217</v>
      </c>
      <c r="N48" s="227">
        <f>GETPIVOTDATA("Sum of Old-Tot G SCH Calc",'Pivot Table for Fact Book'!$A$3,"State","AR","type",15,"Type2","Four-Year")</f>
        <v>0</v>
      </c>
      <c r="O48" s="228">
        <f>GETPIVOTDATA("Sum of New-Tot G SCH Calc",'Pivot Table for Fact Book'!$A$3,"State","AR","type",15,"Type2","Four-Year")</f>
        <v>0</v>
      </c>
      <c r="P48" s="229">
        <f>GETPIVOTDATA("Sum of Old-Tot G SCH Calc",'Pivot Table for Fact Book'!$A$3,"State","AR","Type2","Four-Year")</f>
        <v>215238</v>
      </c>
      <c r="Q48" s="229">
        <f>GETPIVOTDATA("Sum of New-Tot G SCH Calc",'Pivot Table for Fact Book'!$A$3,"State","AR","Type2","Four-Year")</f>
        <v>232698</v>
      </c>
      <c r="R48" s="227">
        <f>GETPIVOTDATA("Sum of Old-Tot G SCH Calc",'Pivot Table for Fact Book'!$A$3,"State","AR","type",7,"Type2","Two-Year")</f>
        <v>0</v>
      </c>
      <c r="S48" s="230">
        <f>GETPIVOTDATA("Sum of New-Tot G SCH Calc",'Pivot Table for Fact Book'!$A$3,"State","AR","type",7,"Type2","Two-Year")</f>
        <v>0</v>
      </c>
      <c r="T48" s="230">
        <f>GETPIVOTDATA("Sum of Old-Tot G SCH Calc",'Pivot Table for Fact Book'!$A$3,"State","AR","type",8,"Type2","Two-Year")</f>
        <v>0</v>
      </c>
      <c r="U48" s="230">
        <f>GETPIVOTDATA("Sum of New-Tot G SCH Calc",'Pivot Table for Fact Book'!$A$3,"State","AR","type",8,"Type2","Two-Year")</f>
        <v>0</v>
      </c>
      <c r="V48" s="230">
        <f>GETPIVOTDATA("Sum of Old-Tot G SCH Calc",'Pivot Table for Fact Book'!$A$3,"State","AR","type",9,"Type2","Two-Year")</f>
        <v>0</v>
      </c>
      <c r="W48" s="230">
        <f>GETPIVOTDATA("Sum of New-Tot G SCH Calc",'Pivot Table for Fact Book'!$A$3,"State","AR","type",9,"Type2","Two-Year")</f>
        <v>0</v>
      </c>
      <c r="X48" s="230">
        <f>GETPIVOTDATA("Sum of Old-Tot G SCH Calc",'Pivot Table for Fact Book'!$A$3,"State","AR","type",10,"Type2","Two-Year")</f>
        <v>0</v>
      </c>
      <c r="Y48" s="230">
        <f>GETPIVOTDATA("Sum of New-Tot G SCH Calc",'Pivot Table for Fact Book'!$A$3,"State","AR","type",10,"Type2","Two-Year")</f>
        <v>0</v>
      </c>
      <c r="Z48" s="231">
        <f>GETPIVOTDATA("Sum of Old-Tot G SCH Calc",'Pivot Table for Fact Book'!$A$3,"State","AR","Type2","Two-Year")</f>
        <v>0</v>
      </c>
      <c r="AA48" s="231">
        <f>GETPIVOTDATA("Sum of New-Tot G SCH Calc",'Pivot Table for Fact Book'!$A$3,"State","AR","Type2","Two-Year")</f>
        <v>0</v>
      </c>
      <c r="AB48" s="227">
        <f>GETPIVOTDATA("Sum of Old-Tot G SCH Calc",'Pivot Table for Fact Book'!$A$3,"State","AR","type",12,"Type2","Technical")</f>
        <v>0</v>
      </c>
      <c r="AC48" s="230">
        <f>GETPIVOTDATA("Sum of New-Tot G SCH Calc",'Pivot Table for Fact Book'!$A$3,"State","AR","type",12,"Type2","Technical")</f>
        <v>0</v>
      </c>
      <c r="AD48" s="230">
        <f>GETPIVOTDATA("Sum of Old-Tot G SCH Calc",'Pivot Table for Fact Book'!$A$3,"State","AR","type",13,"Type2","Technical")</f>
        <v>0</v>
      </c>
      <c r="AE48" s="230">
        <f>GETPIVOTDATA("Sum of New-Tot G SCH Calc",'Pivot Table for Fact Book'!$A$3,"State","AR","type",13,"Type2","Technical")</f>
        <v>0</v>
      </c>
      <c r="AF48" s="233">
        <f>GETPIVOTDATA("Sum of Old-Tot G SCH Calc",'Pivot Table for Fact Book'!$A$3,"State","AR","Type2","Technical")</f>
        <v>0</v>
      </c>
      <c r="AG48" s="233">
        <f>GETPIVOTDATA("Sum of New-Tot G SCH Calc",'Pivot Table for Fact Book'!$A$3,"State","AR","Type2","Technical")</f>
        <v>0</v>
      </c>
      <c r="AH48" s="27"/>
    </row>
    <row r="49" spans="1:34">
      <c r="A49" s="226" t="s">
        <v>655</v>
      </c>
      <c r="B49" s="227">
        <f>GETPIVOTDATA("Sum of Old-Tot G SCH Calc",'Pivot Table for Fact Book'!$A$3,"State","DE","type",1,"Type2","Four-Year")</f>
        <v>49635</v>
      </c>
      <c r="C49" s="228">
        <f>GETPIVOTDATA("Sum of New-Tot G SCH Calc",'Pivot Table for Fact Book'!$A$3,"State","DE","type",1,"Type2","Four-Year")</f>
        <v>52334</v>
      </c>
      <c r="D49" s="227">
        <f>GETPIVOTDATA("Sum of Old-Tot G SCH Calc",'Pivot Table for Fact Book'!$A$3,"State","DE","type",2,"Type2","Four-Year")</f>
        <v>0</v>
      </c>
      <c r="E49" s="228">
        <f>GETPIVOTDATA("Sum of New-Tot G SCH Calc",'Pivot Table for Fact Book'!$A$3,"State","DE","type",2,"Type2","Four-Year")</f>
        <v>0</v>
      </c>
      <c r="F49" s="227">
        <f>GETPIVOTDATA("Sum of Old-Tot G SCH Calc",'Pivot Table for Fact Book'!$A$3,"State","DE","type",3,"Type2","Four-Year")</f>
        <v>0</v>
      </c>
      <c r="G49" s="228">
        <f>GETPIVOTDATA("Sum of New-Tot G SCH Calc",'Pivot Table for Fact Book'!$A$3,"State","DE","type",3,"Type2","Four-Year")</f>
        <v>0</v>
      </c>
      <c r="H49" s="227">
        <f>GETPIVOTDATA("Sum of Old-Tot G SCH Calc",'Pivot Table for Fact Book'!$A$3,"State","DE","type",4,"Type2","Four-Year")</f>
        <v>7075</v>
      </c>
      <c r="I49" s="228">
        <f>GETPIVOTDATA("Sum of New-Tot G SCH Calc",'Pivot Table for Fact Book'!$A$3,"State","DE","type",4,"Type2","Four-Year")</f>
        <v>6072</v>
      </c>
      <c r="J49" s="227">
        <f>GETPIVOTDATA("Sum of Old-Tot G SCH Calc",'Pivot Table for Fact Book'!$A$3,"State","DE","type",5,"Type2","Four-Year")</f>
        <v>0</v>
      </c>
      <c r="K49" s="228">
        <f>GETPIVOTDATA("Sum of New-Tot G SCH Calc",'Pivot Table for Fact Book'!$A$3,"State","DE","type",5,"Type2","Four-Year")</f>
        <v>0</v>
      </c>
      <c r="L49" s="227">
        <f>GETPIVOTDATA("Sum of Old-Tot G SCH Calc",'Pivot Table for Fact Book'!$A$3,"State","DE","type",6,"Type2","Four-Year")</f>
        <v>0</v>
      </c>
      <c r="M49" s="228">
        <f>GETPIVOTDATA("Sum of New-Tot G SCH Calc",'Pivot Table for Fact Book'!$A$3,"State","DE","type",6,"Type2","Four-Year")</f>
        <v>0</v>
      </c>
      <c r="N49" s="227">
        <f>GETPIVOTDATA("Sum of Old-Tot G SCH Calc",'Pivot Table for Fact Book'!$A$3,"State","DE","type",15,"Type2","Four-Year")</f>
        <v>0</v>
      </c>
      <c r="O49" s="228">
        <f>GETPIVOTDATA("Sum of New-Tot G SCH Calc",'Pivot Table for Fact Book'!$A$3,"State","DE","type",15,"Type2","Four-Year")</f>
        <v>0</v>
      </c>
      <c r="P49" s="229">
        <f>GETPIVOTDATA("Sum of Old-Tot G SCH Calc",'Pivot Table for Fact Book'!$A$3,"State","DE","Type2","Four-Year")</f>
        <v>56710</v>
      </c>
      <c r="Q49" s="229">
        <f>GETPIVOTDATA("Sum of New-Tot G SCH Calc",'Pivot Table for Fact Book'!$A$3,"State","DE","Type2","Four-Year")</f>
        <v>58406</v>
      </c>
      <c r="R49" s="227">
        <f>GETPIVOTDATA("Sum of Old-Tot G SCH Calc",'Pivot Table for Fact Book'!$A$3,"State","DE","type",7,"Type2","Two-Year")</f>
        <v>0</v>
      </c>
      <c r="S49" s="230">
        <f>GETPIVOTDATA("Sum of New-Tot G SCH Calc",'Pivot Table for Fact Book'!$A$3,"State","DE","type",7,"Type2","Two-Year")</f>
        <v>0</v>
      </c>
      <c r="T49" s="230">
        <f>GETPIVOTDATA("Sum of Old-Tot G SCH Calc",'Pivot Table for Fact Book'!$A$3,"State","DE","type",8,"Type2","Two-Year")</f>
        <v>0</v>
      </c>
      <c r="U49" s="230">
        <f>GETPIVOTDATA("Sum of New-Tot G SCH Calc",'Pivot Table for Fact Book'!$A$3,"State","DE","type",8,"Type2","Two-Year")</f>
        <v>0</v>
      </c>
      <c r="V49" s="230">
        <f>GETPIVOTDATA("Sum of Old-Tot G SCH Calc",'Pivot Table for Fact Book'!$A$3,"State","DE","type",9,"Type2","Two-Year")</f>
        <v>0</v>
      </c>
      <c r="W49" s="230">
        <f>GETPIVOTDATA("Sum of New-Tot G SCH Calc",'Pivot Table for Fact Book'!$A$3,"State","DE","type",9,"Type2","Two-Year")</f>
        <v>0</v>
      </c>
      <c r="X49" s="230">
        <f>GETPIVOTDATA("Sum of Old-Tot G SCH Calc",'Pivot Table for Fact Book'!$A$3,"State","DE","type",10,"Type2","Two-Year")</f>
        <v>0</v>
      </c>
      <c r="Y49" s="230">
        <f>GETPIVOTDATA("Sum of New-Tot G SCH Calc",'Pivot Table for Fact Book'!$A$3,"State","DE","type",10,"Type2","Two-Year")</f>
        <v>0</v>
      </c>
      <c r="Z49" s="231">
        <f>GETPIVOTDATA("Sum of Old-Tot G SCH Calc",'Pivot Table for Fact Book'!$A$3,"State","DE","Type2","Two-Year")</f>
        <v>0</v>
      </c>
      <c r="AA49" s="231">
        <f>GETPIVOTDATA("Sum of New-Tot G SCH Calc",'Pivot Table for Fact Book'!$A$3,"State","DE","Type2","Two-Year")</f>
        <v>0</v>
      </c>
      <c r="AB49" s="227">
        <f>GETPIVOTDATA("Sum of Old-Tot G SCH Calc",'Pivot Table for Fact Book'!$A$3,"State","DE","type",12,"Type2","Technical")</f>
        <v>0</v>
      </c>
      <c r="AC49" s="230">
        <f>GETPIVOTDATA("Sum of New-Tot G SCH Calc",'Pivot Table for Fact Book'!$A$3,"State","DE","type",12,"Type2","Technical")</f>
        <v>0</v>
      </c>
      <c r="AD49" s="230">
        <f>GETPIVOTDATA("Sum of Old-Tot G SCH Calc",'Pivot Table for Fact Book'!$A$3,"State","DE","type",13,"Type2","Technical")</f>
        <v>0</v>
      </c>
      <c r="AE49" s="230">
        <f>GETPIVOTDATA("Sum of New-Tot G SCH Calc",'Pivot Table for Fact Book'!$A$3,"State","DE","type",13,"Type2","Technical")</f>
        <v>0</v>
      </c>
      <c r="AF49" s="233">
        <f>GETPIVOTDATA("Sum of Old-Tot G SCH Calc",'Pivot Table for Fact Book'!$A$3,"State","DE","Type2","Technical")</f>
        <v>0</v>
      </c>
      <c r="AG49" s="233">
        <f>GETPIVOTDATA("Sum of New-Tot G SCH Calc",'Pivot Table for Fact Book'!$A$3,"State","DE","Type2","Technical")</f>
        <v>0</v>
      </c>
      <c r="AH49" s="27"/>
    </row>
    <row r="50" spans="1:34">
      <c r="A50" s="226" t="s">
        <v>656</v>
      </c>
      <c r="B50" s="227">
        <f>GETPIVOTDATA("Sum of Old-Tot G SCH Calc",'Pivot Table for Fact Book'!$A$3,"State","FL","type",1,"Type2","Four-Year")</f>
        <v>1040754.7</v>
      </c>
      <c r="C50" s="228">
        <f>GETPIVOTDATA("Sum of New-Tot G SCH Calc",'Pivot Table for Fact Book'!$A$3,"State","FL","type",1,"Type2","Four-Year")</f>
        <v>1013960.3</v>
      </c>
      <c r="D50" s="227">
        <f>GETPIVOTDATA("Sum of Old-Tot G SCH Calc",'Pivot Table for Fact Book'!$A$3,"State","FL","type",2,"Type2","Four-Year")</f>
        <v>76256</v>
      </c>
      <c r="E50" s="228">
        <f>GETPIVOTDATA("Sum of New-Tot G SCH Calc",'Pivot Table for Fact Book'!$A$3,"State","FL","type",2,"Type2","Four-Year")</f>
        <v>78594</v>
      </c>
      <c r="F50" s="227">
        <f>GETPIVOTDATA("Sum of Old-Tot G SCH Calc",'Pivot Table for Fact Book'!$A$3,"State","FL","type",3,"Type2","Four-Year")</f>
        <v>105241</v>
      </c>
      <c r="G50" s="228">
        <f>GETPIVOTDATA("Sum of New-Tot G SCH Calc",'Pivot Table for Fact Book'!$A$3,"State","FL","type",3,"Type2","Four-Year")</f>
        <v>111856</v>
      </c>
      <c r="H50" s="227">
        <f>GETPIVOTDATA("Sum of Old-Tot G SCH Calc",'Pivot Table for Fact Book'!$A$3,"State","FL","type",4,"Type2","Four-Year")</f>
        <v>19540</v>
      </c>
      <c r="I50" s="228">
        <f>GETPIVOTDATA("Sum of New-Tot G SCH Calc",'Pivot Table for Fact Book'!$A$3,"State","FL","type",4,"Type2","Four-Year")</f>
        <v>21548</v>
      </c>
      <c r="J50" s="227">
        <f>GETPIVOTDATA("Sum of Old-Tot G SCH Calc",'Pivot Table for Fact Book'!$A$3,"State","FL","type",5,"Type2","Four-Year")</f>
        <v>0</v>
      </c>
      <c r="K50" s="228">
        <f>GETPIVOTDATA("Sum of New-Tot G SCH Calc",'Pivot Table for Fact Book'!$A$3,"State","FL","type",5,"Type2","Four-Year")</f>
        <v>0</v>
      </c>
      <c r="L50" s="227">
        <f>GETPIVOTDATA("Sum of Old-Tot G SCH Calc",'Pivot Table for Fact Book'!$A$3,"State","FL","type",6,"Type2","Four-Year")</f>
        <v>0</v>
      </c>
      <c r="M50" s="228">
        <f>GETPIVOTDATA("Sum of New-Tot G SCH Calc",'Pivot Table for Fact Book'!$A$3,"State","FL","type",6,"Type2","Four-Year")</f>
        <v>0</v>
      </c>
      <c r="N50" s="227">
        <f>GETPIVOTDATA("Sum of Old-Tot G SCH Calc",'Pivot Table for Fact Book'!$A$3,"State","FL","type",15,"Type2","Four-Year")</f>
        <v>0</v>
      </c>
      <c r="O50" s="228">
        <f>GETPIVOTDATA("Sum of New-Tot G SCH Calc",'Pivot Table for Fact Book'!$A$3,"State","FL","type",15,"Type2","Four-Year")</f>
        <v>0</v>
      </c>
      <c r="P50" s="229">
        <f>GETPIVOTDATA("Sum of Old-Tot G SCH Calc",'Pivot Table for Fact Book'!$A$3,"State","FL","Type2","Four-Year")</f>
        <v>1241791.7</v>
      </c>
      <c r="Q50" s="229">
        <f>GETPIVOTDATA("Sum of New-Tot G SCH Calc",'Pivot Table for Fact Book'!$A$3,"State","FL","Type2","Four-Year")</f>
        <v>1225958.3</v>
      </c>
      <c r="R50" s="227">
        <f>GETPIVOTDATA("Sum of Old-Tot G SCH Calc",'Pivot Table for Fact Book'!$A$3,"State","FL","type",7,"Type2","Two-Year")</f>
        <v>0</v>
      </c>
      <c r="S50" s="230">
        <f>GETPIVOTDATA("Sum of New-Tot G SCH Calc",'Pivot Table for Fact Book'!$A$3,"State","FL","type",7,"Type2","Two-Year")</f>
        <v>0</v>
      </c>
      <c r="T50" s="230">
        <f>GETPIVOTDATA("Sum of Old-Tot G SCH Calc",'Pivot Table for Fact Book'!$A$3,"State","FL","type",8,"Type2","Two-Year")</f>
        <v>0</v>
      </c>
      <c r="U50" s="230">
        <f>GETPIVOTDATA("Sum of New-Tot G SCH Calc",'Pivot Table for Fact Book'!$A$3,"State","FL","type",8,"Type2","Two-Year")</f>
        <v>0</v>
      </c>
      <c r="V50" s="230">
        <f>GETPIVOTDATA("Sum of Old-Tot G SCH Calc",'Pivot Table for Fact Book'!$A$3,"State","FL","type",9,"Type2","Two-Year")</f>
        <v>0</v>
      </c>
      <c r="W50" s="230">
        <f>GETPIVOTDATA("Sum of New-Tot G SCH Calc",'Pivot Table for Fact Book'!$A$3,"State","FL","type",9,"Type2","Two-Year")</f>
        <v>0</v>
      </c>
      <c r="X50" s="230">
        <f>GETPIVOTDATA("Sum of Old-Tot G SCH Calc",'Pivot Table for Fact Book'!$A$3,"State","FL","type",10,"Type2","Two-Year")</f>
        <v>0</v>
      </c>
      <c r="Y50" s="230">
        <f>GETPIVOTDATA("Sum of New-Tot G SCH Calc",'Pivot Table for Fact Book'!$A$3,"State","FL","type",10,"Type2","Two-Year")</f>
        <v>0</v>
      </c>
      <c r="Z50" s="231">
        <f>GETPIVOTDATA("Sum of Old-Tot G SCH Calc",'Pivot Table for Fact Book'!$A$3,"State","FL","Type2","Two-Year")</f>
        <v>0</v>
      </c>
      <c r="AA50" s="231">
        <f>GETPIVOTDATA("Sum of New-Tot G SCH Calc",'Pivot Table for Fact Book'!$A$3,"State","FL","Type2","Two-Year")</f>
        <v>0</v>
      </c>
      <c r="AB50" s="227">
        <f>GETPIVOTDATA("Sum of Old-Tot G SCH Calc",'Pivot Table for Fact Book'!$A$3,"State","FL","type",12,"Type2","Technical")</f>
        <v>0</v>
      </c>
      <c r="AC50" s="230">
        <f>GETPIVOTDATA("Sum of New-Tot G SCH Calc",'Pivot Table for Fact Book'!$A$3,"State","FL","type",12,"Type2","Technical")</f>
        <v>0</v>
      </c>
      <c r="AD50" s="230">
        <f>GETPIVOTDATA("Sum of Old-Tot G SCH Calc",'Pivot Table for Fact Book'!$A$3,"State","FL","type",13,"Type2","Technical")</f>
        <v>0</v>
      </c>
      <c r="AE50" s="230">
        <f>GETPIVOTDATA("Sum of New-Tot G SCH Calc",'Pivot Table for Fact Book'!$A$3,"State","FL","type",13,"Type2","Technical")</f>
        <v>0</v>
      </c>
      <c r="AF50" s="233">
        <f>GETPIVOTDATA("Sum of Old-Tot G SCH Calc",'Pivot Table for Fact Book'!$A$3,"State","FL","Type2","Technical")</f>
        <v>0</v>
      </c>
      <c r="AG50" s="233">
        <f>GETPIVOTDATA("Sum of New-Tot G SCH Calc",'Pivot Table for Fact Book'!$A$3,"State","FL","Type2","Technical")</f>
        <v>0</v>
      </c>
      <c r="AH50" s="27"/>
    </row>
    <row r="51" spans="1:34">
      <c r="A51" s="226" t="s">
        <v>657</v>
      </c>
      <c r="B51" s="227">
        <f>GETPIVOTDATA("Sum of Old-Tot G SCH Calc",'Pivot Table for Fact Book'!$A$3,"State","GA","type",1,"Type2","Four-Year")</f>
        <v>0</v>
      </c>
      <c r="C51" s="228">
        <f>GETPIVOTDATA("Sum of New-Tot G SCH Calc",'Pivot Table for Fact Book'!$A$3,"State","GA","type",1,"Type2","Four-Year")</f>
        <v>0</v>
      </c>
      <c r="D51" s="227">
        <f>GETPIVOTDATA("Sum of Old-Tot G SCH Calc",'Pivot Table for Fact Book'!$A$3,"State","GA","type",2,"Type2","Four-Year")</f>
        <v>0</v>
      </c>
      <c r="E51" s="228">
        <f>GETPIVOTDATA("Sum of New-Tot G SCH Calc",'Pivot Table for Fact Book'!$A$3,"State","GA","type",2,"Type2","Four-Year")</f>
        <v>0</v>
      </c>
      <c r="F51" s="227">
        <f>GETPIVOTDATA("Sum of Old-Tot G SCH Calc",'Pivot Table for Fact Book'!$A$3,"State","GA","type",3,"Type2","Four-Year")</f>
        <v>0</v>
      </c>
      <c r="G51" s="228">
        <f>GETPIVOTDATA("Sum of New-Tot G SCH Calc",'Pivot Table for Fact Book'!$A$3,"State","GA","type",3,"Type2","Four-Year")</f>
        <v>0</v>
      </c>
      <c r="H51" s="227">
        <f>GETPIVOTDATA("Sum of Old-Tot G SCH Calc",'Pivot Table for Fact Book'!$A$3,"State","GA","type",4,"Type2","Four-Year")</f>
        <v>0</v>
      </c>
      <c r="I51" s="228">
        <f>GETPIVOTDATA("Sum of New-Tot G SCH Calc",'Pivot Table for Fact Book'!$A$3,"State","GA","type",4,"Type2","Four-Year")</f>
        <v>0</v>
      </c>
      <c r="J51" s="227">
        <f>GETPIVOTDATA("Sum of Old-Tot G SCH Calc",'Pivot Table for Fact Book'!$A$3,"State","GA","type",5,"Type2","Four-Year")</f>
        <v>0</v>
      </c>
      <c r="K51" s="228">
        <f>GETPIVOTDATA("Sum of New-Tot G SCH Calc",'Pivot Table for Fact Book'!$A$3,"State","GA","type",5,"Type2","Four-Year")</f>
        <v>0</v>
      </c>
      <c r="L51" s="227">
        <f>GETPIVOTDATA("Sum of Old-Tot G SCH Calc",'Pivot Table for Fact Book'!$A$3,"State","GA","type",6,"Type2","Four-Year")</f>
        <v>0</v>
      </c>
      <c r="M51" s="228">
        <f>GETPIVOTDATA("Sum of New-Tot G SCH Calc",'Pivot Table for Fact Book'!$A$3,"State","GA","type",6,"Type2","Four-Year")</f>
        <v>0</v>
      </c>
      <c r="N51" s="227">
        <f>GETPIVOTDATA("Sum of Old-Tot G SCH Calc",'Pivot Table for Fact Book'!$A$3,"State","GA","type",15,"Type2","Four-Year")</f>
        <v>0</v>
      </c>
      <c r="O51" s="228">
        <f>GETPIVOTDATA("Sum of New-Tot G SCH Calc",'Pivot Table for Fact Book'!$A$3,"State","GA","type",15,"Type2","Four-Year")</f>
        <v>0</v>
      </c>
      <c r="P51" s="229">
        <f>GETPIVOTDATA("Sum of Old-Tot G SCH Calc",'Pivot Table for Fact Book'!$A$3,"State","GA","Type2","Four-Year")</f>
        <v>0</v>
      </c>
      <c r="Q51" s="229">
        <f>GETPIVOTDATA("Sum of New-Tot G SCH Calc",'Pivot Table for Fact Book'!$A$3,"State","GA","Type2","Four-Year")</f>
        <v>0</v>
      </c>
      <c r="R51" s="227">
        <f>GETPIVOTDATA("Sum of Old-Tot G SCH Calc",'Pivot Table for Fact Book'!$A$3,"State","GA","type",7,"Type2","Two-Year")</f>
        <v>0</v>
      </c>
      <c r="S51" s="230">
        <f>GETPIVOTDATA("Sum of New-Tot G SCH Calc",'Pivot Table for Fact Book'!$A$3,"State","GA","type",7,"Type2","Two-Year")</f>
        <v>0</v>
      </c>
      <c r="T51" s="230">
        <f>GETPIVOTDATA("Sum of Old-Tot G SCH Calc",'Pivot Table for Fact Book'!$A$3,"State","GA","type",8,"Type2","Two-Year")</f>
        <v>0</v>
      </c>
      <c r="U51" s="230">
        <f>GETPIVOTDATA("Sum of New-Tot G SCH Calc",'Pivot Table for Fact Book'!$A$3,"State","GA","type",8,"Type2","Two-Year")</f>
        <v>0</v>
      </c>
      <c r="V51" s="230">
        <f>GETPIVOTDATA("Sum of Old-Tot G SCH Calc",'Pivot Table for Fact Book'!$A$3,"State","GA","type",9,"Type2","Two-Year")</f>
        <v>0</v>
      </c>
      <c r="W51" s="230">
        <f>GETPIVOTDATA("Sum of New-Tot G SCH Calc",'Pivot Table for Fact Book'!$A$3,"State","GA","type",9,"Type2","Two-Year")</f>
        <v>0</v>
      </c>
      <c r="X51" s="230">
        <f>GETPIVOTDATA("Sum of Old-Tot G SCH Calc",'Pivot Table for Fact Book'!$A$3,"State","GA","type",10,"Type2","Two-Year")</f>
        <v>0</v>
      </c>
      <c r="Y51" s="230">
        <f>GETPIVOTDATA("Sum of New-Tot G SCH Calc",'Pivot Table for Fact Book'!$A$3,"State","GA","type",10,"Type2","Two-Year")</f>
        <v>0</v>
      </c>
      <c r="Z51" s="231">
        <f>GETPIVOTDATA("Sum of Old-Tot G SCH Calc",'Pivot Table for Fact Book'!$A$3,"State","GA","Type2","Two-Year")</f>
        <v>0</v>
      </c>
      <c r="AA51" s="231">
        <f>GETPIVOTDATA("Sum of New-Tot G SCH Calc",'Pivot Table for Fact Book'!$A$3,"State","GA","Type2","Two-Year")</f>
        <v>0</v>
      </c>
      <c r="AB51" s="227">
        <f>GETPIVOTDATA("Sum of Old-Tot G SCH Calc",'Pivot Table for Fact Book'!$A$3,"State","GA","type",12,"Type2","Technical")</f>
        <v>0</v>
      </c>
      <c r="AC51" s="230">
        <f>GETPIVOTDATA("Sum of New-Tot G SCH Calc",'Pivot Table for Fact Book'!$A$3,"State","GA","type",12,"Type2","Technical")</f>
        <v>0</v>
      </c>
      <c r="AD51" s="230">
        <f>GETPIVOTDATA("Sum of Old-Tot G SCH Calc",'Pivot Table for Fact Book'!$A$3,"State","GA","type",13,"Type2","Technical")</f>
        <v>0</v>
      </c>
      <c r="AE51" s="230">
        <f>GETPIVOTDATA("Sum of New-Tot G SCH Calc",'Pivot Table for Fact Book'!$A$3,"State","GA","type",13,"Type2","Technical")</f>
        <v>0</v>
      </c>
      <c r="AF51" s="233">
        <f>GETPIVOTDATA("Sum of Old-Tot G SCH Calc",'Pivot Table for Fact Book'!$A$3,"State","GA","Type2","Technical")</f>
        <v>0</v>
      </c>
      <c r="AG51" s="233">
        <f>GETPIVOTDATA("Sum of New-Tot G SCH Calc",'Pivot Table for Fact Book'!$A$3,"State","GA","Type2","Technical")</f>
        <v>0</v>
      </c>
      <c r="AH51" s="27"/>
    </row>
    <row r="52" spans="1:34">
      <c r="A52" s="226" t="s">
        <v>658</v>
      </c>
      <c r="B52" s="227">
        <f>GETPIVOTDATA("Sum of Old-Tot G SCH Calc",'Pivot Table for Fact Book'!$A$3,"State","KY","type",1,"Type2","Four-Year")</f>
        <v>160745</v>
      </c>
      <c r="C52" s="228">
        <f>GETPIVOTDATA("Sum of New-Tot G SCH Calc",'Pivot Table for Fact Book'!$A$3,"State","KY","type",1,"Type2","Four-Year")</f>
        <v>154716</v>
      </c>
      <c r="D52" s="227">
        <f>GETPIVOTDATA("Sum of Old-Tot G SCH Calc",'Pivot Table for Fact Book'!$A$3,"State","KY","type",2,"Type2","Four-Year")</f>
        <v>0</v>
      </c>
      <c r="E52" s="228">
        <f>GETPIVOTDATA("Sum of New-Tot G SCH Calc",'Pivot Table for Fact Book'!$A$3,"State","KY","type",2,"Type2","Four-Year")</f>
        <v>0</v>
      </c>
      <c r="F52" s="227">
        <f>GETPIVOTDATA("Sum of Old-Tot G SCH Calc",'Pivot Table for Fact Book'!$A$3,"State","KY","type",3,"Type2","Four-Year")</f>
        <v>110572</v>
      </c>
      <c r="G52" s="228">
        <f>GETPIVOTDATA("Sum of New-Tot G SCH Calc",'Pivot Table for Fact Book'!$A$3,"State","KY","type",3,"Type2","Four-Year")</f>
        <v>100774</v>
      </c>
      <c r="H52" s="227">
        <f>GETPIVOTDATA("Sum of Old-Tot G SCH Calc",'Pivot Table for Fact Book'!$A$3,"State","KY","type",4,"Type2","Four-Year")</f>
        <v>60162</v>
      </c>
      <c r="I52" s="228">
        <f>GETPIVOTDATA("Sum of New-Tot G SCH Calc",'Pivot Table for Fact Book'!$A$3,"State","KY","type",4,"Type2","Four-Year")</f>
        <v>55260</v>
      </c>
      <c r="J52" s="227">
        <f>GETPIVOTDATA("Sum of Old-Tot G SCH Calc",'Pivot Table for Fact Book'!$A$3,"State","KY","type",5,"Type2","Four-Year")</f>
        <v>2666</v>
      </c>
      <c r="K52" s="228">
        <f>GETPIVOTDATA("Sum of New-Tot G SCH Calc",'Pivot Table for Fact Book'!$A$3,"State","KY","type",5,"Type2","Four-Year")</f>
        <v>2647</v>
      </c>
      <c r="L52" s="227">
        <f>GETPIVOTDATA("Sum of Old-Tot G SCH Calc",'Pivot Table for Fact Book'!$A$3,"State","KY","type",6,"Type2","Four-Year")</f>
        <v>0</v>
      </c>
      <c r="M52" s="228">
        <f>GETPIVOTDATA("Sum of New-Tot G SCH Calc",'Pivot Table for Fact Book'!$A$3,"State","KY","type",6,"Type2","Four-Year")</f>
        <v>0</v>
      </c>
      <c r="N52" s="227">
        <f>GETPIVOTDATA("Sum of Old-Tot G SCH Calc",'Pivot Table for Fact Book'!$A$3,"State","KY","type",15,"Type2","Four-Year")</f>
        <v>0</v>
      </c>
      <c r="O52" s="228">
        <f>GETPIVOTDATA("Sum of New-Tot G SCH Calc",'Pivot Table for Fact Book'!$A$3,"State","KY","type",15,"Type2","Four-Year")</f>
        <v>0</v>
      </c>
      <c r="P52" s="229">
        <f>GETPIVOTDATA("Sum of Old-Tot G SCH Calc",'Pivot Table for Fact Book'!$A$3,"State","KY","Type2","Four-Year")</f>
        <v>334145</v>
      </c>
      <c r="Q52" s="229">
        <f>GETPIVOTDATA("Sum of New-Tot G SCH Calc",'Pivot Table for Fact Book'!$A$3,"State","KY","Type2","Four-Year")</f>
        <v>313397</v>
      </c>
      <c r="R52" s="227">
        <f>GETPIVOTDATA("Sum of Old-Tot G SCH Calc",'Pivot Table for Fact Book'!$A$3,"State","KY","type",7,"Type2","Two-Year")</f>
        <v>0</v>
      </c>
      <c r="S52" s="230">
        <f>GETPIVOTDATA("Sum of New-Tot G SCH Calc",'Pivot Table for Fact Book'!$A$3,"State","KY","type",7,"Type2","Two-Year")</f>
        <v>0</v>
      </c>
      <c r="T52" s="230">
        <f>GETPIVOTDATA("Sum of Old-Tot G SCH Calc",'Pivot Table for Fact Book'!$A$3,"State","KY","type",8,"Type2","Two-Year")</f>
        <v>0</v>
      </c>
      <c r="U52" s="230">
        <f>GETPIVOTDATA("Sum of New-Tot G SCH Calc",'Pivot Table for Fact Book'!$A$3,"State","KY","type",8,"Type2","Two-Year")</f>
        <v>0</v>
      </c>
      <c r="V52" s="230">
        <f>GETPIVOTDATA("Sum of Old-Tot G SCH Calc",'Pivot Table for Fact Book'!$A$3,"State","KY","type",9,"Type2","Two-Year")</f>
        <v>0</v>
      </c>
      <c r="W52" s="230">
        <f>GETPIVOTDATA("Sum of New-Tot G SCH Calc",'Pivot Table for Fact Book'!$A$3,"State","KY","type",9,"Type2","Two-Year")</f>
        <v>0</v>
      </c>
      <c r="X52" s="230">
        <f>GETPIVOTDATA("Sum of Old-Tot G SCH Calc",'Pivot Table for Fact Book'!$A$3,"State","KY","type",10,"Type2","Two-Year")</f>
        <v>0</v>
      </c>
      <c r="Y52" s="230">
        <f>GETPIVOTDATA("Sum of New-Tot G SCH Calc",'Pivot Table for Fact Book'!$A$3,"State","KY","type",10,"Type2","Two-Year")</f>
        <v>0</v>
      </c>
      <c r="Z52" s="231">
        <f>GETPIVOTDATA("Sum of Old-Tot G SCH Calc",'Pivot Table for Fact Book'!$A$3,"State","KY","Type2","Two-Year")</f>
        <v>0</v>
      </c>
      <c r="AA52" s="231">
        <f>GETPIVOTDATA("Sum of New-Tot G SCH Calc",'Pivot Table for Fact Book'!$A$3,"State","KY","Type2","Two-Year")</f>
        <v>0</v>
      </c>
      <c r="AB52" s="227">
        <f>GETPIVOTDATA("Sum of Old-Tot G SCH Calc",'Pivot Table for Fact Book'!$A$3,"State","KY","type",12,"Type2","Technical")</f>
        <v>0</v>
      </c>
      <c r="AC52" s="230">
        <f>GETPIVOTDATA("Sum of New-Tot G SCH Calc",'Pivot Table for Fact Book'!$A$3,"State","KY","type",12,"Type2","Technical")</f>
        <v>0</v>
      </c>
      <c r="AD52" s="230">
        <f>GETPIVOTDATA("Sum of Old-Tot G SCH Calc",'Pivot Table for Fact Book'!$A$3,"State","KY","type",13,"Type2","Technical")</f>
        <v>0</v>
      </c>
      <c r="AE52" s="230">
        <f>GETPIVOTDATA("Sum of New-Tot G SCH Calc",'Pivot Table for Fact Book'!$A$3,"State","KY","type",13,"Type2","Technical")</f>
        <v>0</v>
      </c>
      <c r="AF52" s="233">
        <f>GETPIVOTDATA("Sum of Old-Tot G SCH Calc",'Pivot Table for Fact Book'!$A$3,"State","KY","Type2","Technical")</f>
        <v>0</v>
      </c>
      <c r="AG52" s="233">
        <f>GETPIVOTDATA("Sum of New-Tot G SCH Calc",'Pivot Table for Fact Book'!$A$3,"State","KY","Type2","Technical")</f>
        <v>0</v>
      </c>
      <c r="AH52" s="27"/>
    </row>
    <row r="53" spans="1:34">
      <c r="A53" s="226" t="s">
        <v>659</v>
      </c>
      <c r="B53" s="227">
        <f>GETPIVOTDATA("Sum of Old-Tot G SCH Calc",'Pivot Table for Fact Book'!$A$3,"State","LA","type",1,"Type2","Four-Year")</f>
        <v>0</v>
      </c>
      <c r="C53" s="228">
        <f>GETPIVOTDATA("Sum of New-Tot G SCH Calc",'Pivot Table for Fact Book'!$A$3,"State","LA","type",1,"Type2","Four-Year")</f>
        <v>0</v>
      </c>
      <c r="D53" s="227">
        <f>GETPIVOTDATA("Sum of Old-Tot G SCH Calc",'Pivot Table for Fact Book'!$A$3,"State","LA","type",2,"Type2","Four-Year")</f>
        <v>0</v>
      </c>
      <c r="E53" s="228">
        <f>GETPIVOTDATA("Sum of New-Tot G SCH Calc",'Pivot Table for Fact Book'!$A$3,"State","LA","type",2,"Type2","Four-Year")</f>
        <v>0</v>
      </c>
      <c r="F53" s="227">
        <f>GETPIVOTDATA("Sum of Old-Tot G SCH Calc",'Pivot Table for Fact Book'!$A$3,"State","LA","type",3,"Type2","Four-Year")</f>
        <v>0</v>
      </c>
      <c r="G53" s="228">
        <f>GETPIVOTDATA("Sum of New-Tot G SCH Calc",'Pivot Table for Fact Book'!$A$3,"State","LA","type",3,"Type2","Four-Year")</f>
        <v>0</v>
      </c>
      <c r="H53" s="227">
        <f>GETPIVOTDATA("Sum of Old-Tot G SCH Calc",'Pivot Table for Fact Book'!$A$3,"State","LA","type",4,"Type2","Four-Year")</f>
        <v>0</v>
      </c>
      <c r="I53" s="228">
        <f>GETPIVOTDATA("Sum of New-Tot G SCH Calc",'Pivot Table for Fact Book'!$A$3,"State","LA","type",4,"Type2","Four-Year")</f>
        <v>0</v>
      </c>
      <c r="J53" s="227">
        <f>GETPIVOTDATA("Sum of Old-Tot G SCH Calc",'Pivot Table for Fact Book'!$A$3,"State","LA","type",5,"Type2","Four-Year")</f>
        <v>0</v>
      </c>
      <c r="K53" s="228">
        <f>GETPIVOTDATA("Sum of New-Tot G SCH Calc",'Pivot Table for Fact Book'!$A$3,"State","LA","type",5,"Type2","Four-Year")</f>
        <v>0</v>
      </c>
      <c r="L53" s="227">
        <f>GETPIVOTDATA("Sum of Old-Tot G SCH Calc",'Pivot Table for Fact Book'!$A$3,"State","LA","type",6,"Type2","Four-Year")</f>
        <v>0</v>
      </c>
      <c r="M53" s="228">
        <f>GETPIVOTDATA("Sum of New-Tot G SCH Calc",'Pivot Table for Fact Book'!$A$3,"State","LA","type",6,"Type2","Four-Year")</f>
        <v>0</v>
      </c>
      <c r="N53" s="227">
        <f>GETPIVOTDATA("Sum of Old-Tot G SCH Calc",'Pivot Table for Fact Book'!$A$3,"State","LA","type",15,"Type2","Four-Year")</f>
        <v>0</v>
      </c>
      <c r="O53" s="228">
        <f>GETPIVOTDATA("Sum of New-Tot G SCH Calc",'Pivot Table for Fact Book'!$A$3,"State","LA","type",15,"Type2","Four-Year")</f>
        <v>0</v>
      </c>
      <c r="P53" s="229">
        <f>GETPIVOTDATA("Sum of Old-Tot G SCH Calc",'Pivot Table for Fact Book'!$A$3,"State","LA","Type2","Four-Year")</f>
        <v>0</v>
      </c>
      <c r="Q53" s="229">
        <f>GETPIVOTDATA("Sum of New-Tot G SCH Calc",'Pivot Table for Fact Book'!$A$3,"State","LA","Type2","Four-Year")</f>
        <v>0</v>
      </c>
      <c r="R53" s="227">
        <f>GETPIVOTDATA("Sum of Old-Tot G SCH Calc",'Pivot Table for Fact Book'!$A$3,"State","LA","type",7,"Type2","Two-Year")</f>
        <v>0</v>
      </c>
      <c r="S53" s="230">
        <f>GETPIVOTDATA("Sum of New-Tot G SCH Calc",'Pivot Table for Fact Book'!$A$3,"State","LA","type",7,"Type2","Two-Year")</f>
        <v>0</v>
      </c>
      <c r="T53" s="230">
        <f>GETPIVOTDATA("Sum of Old-Tot G SCH Calc",'Pivot Table for Fact Book'!$A$3,"State","LA","type",8,"Type2","Two-Year")</f>
        <v>0</v>
      </c>
      <c r="U53" s="230">
        <f>GETPIVOTDATA("Sum of New-Tot G SCH Calc",'Pivot Table for Fact Book'!$A$3,"State","LA","type",8,"Type2","Two-Year")</f>
        <v>0</v>
      </c>
      <c r="V53" s="230">
        <f>GETPIVOTDATA("Sum of Old-Tot G SCH Calc",'Pivot Table for Fact Book'!$A$3,"State","LA","type",9,"Type2","Two-Year")</f>
        <v>0</v>
      </c>
      <c r="W53" s="230">
        <f>GETPIVOTDATA("Sum of New-Tot G SCH Calc",'Pivot Table for Fact Book'!$A$3,"State","LA","type",9,"Type2","Two-Year")</f>
        <v>0</v>
      </c>
      <c r="X53" s="230">
        <f>GETPIVOTDATA("Sum of Old-Tot G SCH Calc",'Pivot Table for Fact Book'!$A$3,"State","LA","type",10,"Type2","Two-Year")</f>
        <v>0</v>
      </c>
      <c r="Y53" s="230">
        <f>GETPIVOTDATA("Sum of New-Tot G SCH Calc",'Pivot Table for Fact Book'!$A$3,"State","LA","type",10,"Type2","Two-Year")</f>
        <v>0</v>
      </c>
      <c r="Z53" s="231">
        <f>GETPIVOTDATA("Sum of Old-Tot G SCH Calc",'Pivot Table for Fact Book'!$A$3,"State","LA","Type2","Two-Year")</f>
        <v>0</v>
      </c>
      <c r="AA53" s="231">
        <f>GETPIVOTDATA("Sum of New-Tot G SCH Calc",'Pivot Table for Fact Book'!$A$3,"State","LA","Type2","Two-Year")</f>
        <v>0</v>
      </c>
      <c r="AB53" s="227">
        <f>GETPIVOTDATA("Sum of Old-Tot G SCH Calc",'Pivot Table for Fact Book'!$A$3,"State","LA","type",12,"Type2","Technical")</f>
        <v>0</v>
      </c>
      <c r="AC53" s="230">
        <f>GETPIVOTDATA("Sum of New-Tot G SCH Calc",'Pivot Table for Fact Book'!$A$3,"State","LA","type",12,"Type2","Technical")</f>
        <v>0</v>
      </c>
      <c r="AD53" s="230">
        <f>GETPIVOTDATA("Sum of Old-Tot G SCH Calc",'Pivot Table for Fact Book'!$A$3,"State","LA","type",13,"Type2","Technical")</f>
        <v>0</v>
      </c>
      <c r="AE53" s="230">
        <f>GETPIVOTDATA("Sum of New-Tot G SCH Calc",'Pivot Table for Fact Book'!$A$3,"State","LA","type",13,"Type2","Technical")</f>
        <v>0</v>
      </c>
      <c r="AF53" s="233">
        <f>GETPIVOTDATA("Sum of Old-Tot G SCH Calc",'Pivot Table for Fact Book'!$A$3,"State","LA","Type2","Technical")</f>
        <v>0</v>
      </c>
      <c r="AG53" s="233">
        <f>GETPIVOTDATA("Sum of New-Tot G SCH Calc",'Pivot Table for Fact Book'!$A$3,"State","LA","Type2","Technical")</f>
        <v>0</v>
      </c>
      <c r="AH53" s="27"/>
    </row>
    <row r="54" spans="1:34">
      <c r="A54" s="226" t="s">
        <v>700</v>
      </c>
      <c r="B54" s="227">
        <f>GETPIVOTDATA("Sum of Old-Tot G SCH Calc",'Pivot Table for Fact Book'!$A$3,"State","MD","type",1,"Type2","Four-Year")</f>
        <v>148639.25</v>
      </c>
      <c r="C54" s="228">
        <f>GETPIVOTDATA("Sum of New-Tot G SCH Calc",'Pivot Table for Fact Book'!$A$3,"State","MD","type",1,"Type2","Four-Year")</f>
        <v>154875</v>
      </c>
      <c r="D54" s="227">
        <f>GETPIVOTDATA("Sum of Old-Tot G SCH Calc",'Pivot Table for Fact Book'!$A$3,"State","MD","type",2,"Type2","Four-Year")</f>
        <v>25309</v>
      </c>
      <c r="E54" s="228">
        <f>GETPIVOTDATA("Sum of New-Tot G SCH Calc",'Pivot Table for Fact Book'!$A$3,"State","MD","type",2,"Type2","Four-Year")</f>
        <v>31112</v>
      </c>
      <c r="F54" s="227">
        <f>GETPIVOTDATA("Sum of Old-Tot G SCH Calc",'Pivot Table for Fact Book'!$A$3,"State","MD","type",3,"Type2","Four-Year")</f>
        <v>66190</v>
      </c>
      <c r="G54" s="228">
        <f>GETPIVOTDATA("Sum of New-Tot G SCH Calc",'Pivot Table for Fact Book'!$A$3,"State","MD","type",3,"Type2","Four-Year")</f>
        <v>70318</v>
      </c>
      <c r="H54" s="227">
        <f>GETPIVOTDATA("Sum of Old-Tot G SCH Calc",'Pivot Table for Fact Book'!$A$3,"State","MD","type",4,"Type2","Four-Year")</f>
        <v>110476</v>
      </c>
      <c r="I54" s="228">
        <f>GETPIVOTDATA("Sum of New-Tot G SCH Calc",'Pivot Table for Fact Book'!$A$3,"State","MD","type",4,"Type2","Four-Year")</f>
        <v>112464</v>
      </c>
      <c r="J54" s="227">
        <f>GETPIVOTDATA("Sum of Old-Tot G SCH Calc",'Pivot Table for Fact Book'!$A$3,"State","MD","type",5,"Type2","Four-Year")</f>
        <v>0</v>
      </c>
      <c r="K54" s="228">
        <f>GETPIVOTDATA("Sum of New-Tot G SCH Calc",'Pivot Table for Fact Book'!$A$3,"State","MD","type",5,"Type2","Four-Year")</f>
        <v>0</v>
      </c>
      <c r="L54" s="227">
        <f>GETPIVOTDATA("Sum of Old-Tot G SCH Calc",'Pivot Table for Fact Book'!$A$3,"State","MD","type",6,"Type2","Four-Year")</f>
        <v>1282</v>
      </c>
      <c r="M54" s="228">
        <f>GETPIVOTDATA("Sum of New-Tot G SCH Calc",'Pivot Table for Fact Book'!$A$3,"State","MD","type",6,"Type2","Four-Year")</f>
        <v>1900</v>
      </c>
      <c r="N54" s="227">
        <f>GETPIVOTDATA("Sum of Old-Tot G SCH Calc",'Pivot Table for Fact Book'!$A$3,"State","MD","type",15,"Type2","Four-Year")</f>
        <v>109857</v>
      </c>
      <c r="O54" s="228">
        <f>GETPIVOTDATA("Sum of New-Tot G SCH Calc",'Pivot Table for Fact Book'!$A$3,"State","MD","type",15,"Type2","Four-Year")</f>
        <v>159416</v>
      </c>
      <c r="P54" s="229">
        <f>GETPIVOTDATA("Sum of Old-Tot G SCH Calc",'Pivot Table for Fact Book'!$A$3,"State","MD","Type2","Four-Year")</f>
        <v>461753.25</v>
      </c>
      <c r="Q54" s="229">
        <f>GETPIVOTDATA("Sum of New-Tot G SCH Calc",'Pivot Table for Fact Book'!$A$3,"State","MD","Type2","Four-Year")</f>
        <v>530085</v>
      </c>
      <c r="R54" s="227">
        <f>GETPIVOTDATA("Sum of Old-Tot G SCH Calc",'Pivot Table for Fact Book'!$A$3,"State","MD","type",7,"Type2","Two-Year")</f>
        <v>0</v>
      </c>
      <c r="S54" s="230">
        <f>GETPIVOTDATA("Sum of New-Tot G SCH Calc",'Pivot Table for Fact Book'!$A$3,"State","MD","type",7,"Type2","Two-Year")</f>
        <v>0</v>
      </c>
      <c r="T54" s="230">
        <f>GETPIVOTDATA("Sum of Old-Tot G SCH Calc",'Pivot Table for Fact Book'!$A$3,"State","MD","type",8,"Type2","Two-Year")</f>
        <v>0</v>
      </c>
      <c r="U54" s="230">
        <f>GETPIVOTDATA("Sum of New-Tot G SCH Calc",'Pivot Table for Fact Book'!$A$3,"State","MD","type",8,"Type2","Two-Year")</f>
        <v>0</v>
      </c>
      <c r="V54" s="230">
        <f>GETPIVOTDATA("Sum of Old-Tot G SCH Calc",'Pivot Table for Fact Book'!$A$3,"State","MD","type",9,"Type2","Two-Year")</f>
        <v>0</v>
      </c>
      <c r="W54" s="230">
        <f>GETPIVOTDATA("Sum of New-Tot G SCH Calc",'Pivot Table for Fact Book'!$A$3,"State","MD","type",9,"Type2","Two-Year")</f>
        <v>0</v>
      </c>
      <c r="X54" s="230">
        <f>GETPIVOTDATA("Sum of Old-Tot G SCH Calc",'Pivot Table for Fact Book'!$A$3,"State","MD","type",10,"Type2","Two-Year")</f>
        <v>0</v>
      </c>
      <c r="Y54" s="230">
        <f>GETPIVOTDATA("Sum of New-Tot G SCH Calc",'Pivot Table for Fact Book'!$A$3,"State","MD","type",10,"Type2","Two-Year")</f>
        <v>0</v>
      </c>
      <c r="Z54" s="231">
        <f>GETPIVOTDATA("Sum of Old-Tot G SCH Calc",'Pivot Table for Fact Book'!$A$3,"State","MD","Type2","Two-Year")</f>
        <v>0</v>
      </c>
      <c r="AA54" s="231">
        <f>GETPIVOTDATA("Sum of New-Tot G SCH Calc",'Pivot Table for Fact Book'!$A$3,"State","MD","Type2","Two-Year")</f>
        <v>0</v>
      </c>
      <c r="AB54" s="227">
        <f>GETPIVOTDATA("Sum of Old-Tot G SCH Calc",'Pivot Table for Fact Book'!$A$3,"State","MD","type",12,"Type2","Technical")</f>
        <v>0</v>
      </c>
      <c r="AC54" s="230">
        <f>GETPIVOTDATA("Sum of New-Tot G SCH Calc",'Pivot Table for Fact Book'!$A$3,"State","MD","type",12,"Type2","Technical")</f>
        <v>0</v>
      </c>
      <c r="AD54" s="230">
        <f>GETPIVOTDATA("Sum of Old-Tot G SCH Calc",'Pivot Table for Fact Book'!$A$3,"State","MD","type",13,"Type2","Technical")</f>
        <v>0</v>
      </c>
      <c r="AE54" s="230">
        <f>GETPIVOTDATA("Sum of New-Tot G SCH Calc",'Pivot Table for Fact Book'!$A$3,"State","MD","type",13,"Type2","Technical")</f>
        <v>0</v>
      </c>
      <c r="AF54" s="233">
        <f>GETPIVOTDATA("Sum of Old-Tot G SCH Calc",'Pivot Table for Fact Book'!$A$3,"State","MD","Type2","Technical")</f>
        <v>0</v>
      </c>
      <c r="AG54" s="233">
        <f>GETPIVOTDATA("Sum of New-Tot G SCH Calc",'Pivot Table for Fact Book'!$A$3,"State","MD","Type2","Technical")</f>
        <v>0</v>
      </c>
      <c r="AH54" s="27"/>
    </row>
    <row r="55" spans="1:34">
      <c r="A55" s="226" t="s">
        <v>661</v>
      </c>
      <c r="B55" s="227">
        <f>GETPIVOTDATA("Sum of Old-Tot G SCH Calc",'Pivot Table for Fact Book'!$A$3,"State","MS","type",1,"Type2","Four-Year")</f>
        <v>116948</v>
      </c>
      <c r="C55" s="228">
        <f>GETPIVOTDATA("Sum of New-Tot G SCH Calc",'Pivot Table for Fact Book'!$A$3,"State","MS","type",1,"Type2","Four-Year")</f>
        <v>121801</v>
      </c>
      <c r="D55" s="227">
        <f>GETPIVOTDATA("Sum of Old-Tot G SCH Calc",'Pivot Table for Fact Book'!$A$3,"State","MS","type",2,"Type2","Four-Year")</f>
        <v>83053</v>
      </c>
      <c r="E55" s="228">
        <f>GETPIVOTDATA("Sum of New-Tot G SCH Calc",'Pivot Table for Fact Book'!$A$3,"State","MS","type",2,"Type2","Four-Year")</f>
        <v>83666</v>
      </c>
      <c r="F55" s="227">
        <f>GETPIVOTDATA("Sum of Old-Tot G SCH Calc",'Pivot Table for Fact Book'!$A$3,"State","MS","type",3,"Type2","Four-Year")</f>
        <v>0</v>
      </c>
      <c r="G55" s="228">
        <f>GETPIVOTDATA("Sum of New-Tot G SCH Calc",'Pivot Table for Fact Book'!$A$3,"State","MS","type",3,"Type2","Four-Year")</f>
        <v>0</v>
      </c>
      <c r="H55" s="227">
        <f>GETPIVOTDATA("Sum of Old-Tot G SCH Calc",'Pivot Table for Fact Book'!$A$3,"State","MS","type",4,"Type2","Four-Year")</f>
        <v>30853</v>
      </c>
      <c r="I55" s="228">
        <f>GETPIVOTDATA("Sum of New-Tot G SCH Calc",'Pivot Table for Fact Book'!$A$3,"State","MS","type",4,"Type2","Four-Year")</f>
        <v>30749</v>
      </c>
      <c r="J55" s="227">
        <f>GETPIVOTDATA("Sum of Old-Tot G SCH Calc",'Pivot Table for Fact Book'!$A$3,"State","MS","type",5,"Type2","Four-Year")</f>
        <v>3095</v>
      </c>
      <c r="K55" s="228">
        <f>GETPIVOTDATA("Sum of New-Tot G SCH Calc",'Pivot Table for Fact Book'!$A$3,"State","MS","type",5,"Type2","Four-Year")</f>
        <v>4413</v>
      </c>
      <c r="L55" s="227">
        <f>GETPIVOTDATA("Sum of Old-Tot G SCH Calc",'Pivot Table for Fact Book'!$A$3,"State","MS","type",6,"Type2","Four-Year")</f>
        <v>0</v>
      </c>
      <c r="M55" s="228">
        <f>GETPIVOTDATA("Sum of New-Tot G SCH Calc",'Pivot Table for Fact Book'!$A$3,"State","MS","type",6,"Type2","Four-Year")</f>
        <v>0</v>
      </c>
      <c r="N55" s="227">
        <f>GETPIVOTDATA("Sum of Old-Tot G SCH Calc",'Pivot Table for Fact Book'!$A$3,"State","MS","type",15,"Type2","Four-Year")</f>
        <v>0</v>
      </c>
      <c r="O55" s="228">
        <f>GETPIVOTDATA("Sum of New-Tot G SCH Calc",'Pivot Table for Fact Book'!$A$3,"State","MS","type",15,"Type2","Four-Year")</f>
        <v>0</v>
      </c>
      <c r="P55" s="229">
        <f>GETPIVOTDATA("Sum of Old-Tot G SCH Calc",'Pivot Table for Fact Book'!$A$3,"State","MS","Type2","Four-Year")</f>
        <v>233949</v>
      </c>
      <c r="Q55" s="229">
        <f>GETPIVOTDATA("Sum of New-Tot G SCH Calc",'Pivot Table for Fact Book'!$A$3,"State","MS","Type2","Four-Year")</f>
        <v>240629</v>
      </c>
      <c r="R55" s="227">
        <f>GETPIVOTDATA("Sum of Old-Tot G SCH Calc",'Pivot Table for Fact Book'!$A$3,"State","MS","type",7,"Type2","Two-Year")</f>
        <v>0</v>
      </c>
      <c r="S55" s="230">
        <f>GETPIVOTDATA("Sum of New-Tot G SCH Calc",'Pivot Table for Fact Book'!$A$3,"State","MS","type",7,"Type2","Two-Year")</f>
        <v>0</v>
      </c>
      <c r="T55" s="230">
        <f>GETPIVOTDATA("Sum of Old-Tot G SCH Calc",'Pivot Table for Fact Book'!$A$3,"State","MS","type",8,"Type2","Two-Year")</f>
        <v>0</v>
      </c>
      <c r="U55" s="230">
        <f>GETPIVOTDATA("Sum of New-Tot G SCH Calc",'Pivot Table for Fact Book'!$A$3,"State","MS","type",8,"Type2","Two-Year")</f>
        <v>0</v>
      </c>
      <c r="V55" s="230">
        <f>GETPIVOTDATA("Sum of Old-Tot G SCH Calc",'Pivot Table for Fact Book'!$A$3,"State","MS","type",9,"Type2","Two-Year")</f>
        <v>0</v>
      </c>
      <c r="W55" s="230">
        <f>GETPIVOTDATA("Sum of New-Tot G SCH Calc",'Pivot Table for Fact Book'!$A$3,"State","MS","type",9,"Type2","Two-Year")</f>
        <v>0</v>
      </c>
      <c r="X55" s="230">
        <f>GETPIVOTDATA("Sum of Old-Tot G SCH Calc",'Pivot Table for Fact Book'!$A$3,"State","MS","type",10,"Type2","Two-Year")</f>
        <v>0</v>
      </c>
      <c r="Y55" s="230">
        <f>GETPIVOTDATA("Sum of New-Tot G SCH Calc",'Pivot Table for Fact Book'!$A$3,"State","MS","type",10,"Type2","Two-Year")</f>
        <v>0</v>
      </c>
      <c r="Z55" s="231">
        <f>GETPIVOTDATA("Sum of Old-Tot G SCH Calc",'Pivot Table for Fact Book'!$A$3,"State","MS","Type2","Two-Year")</f>
        <v>0</v>
      </c>
      <c r="AA55" s="231">
        <f>GETPIVOTDATA("Sum of New-Tot G SCH Calc",'Pivot Table for Fact Book'!$A$3,"State","MS","Type2","Two-Year")</f>
        <v>0</v>
      </c>
      <c r="AB55" s="227">
        <f>GETPIVOTDATA("Sum of Old-Tot G SCH Calc",'Pivot Table for Fact Book'!$A$3,"State","MS","type",12,"Type2","Technical")</f>
        <v>0</v>
      </c>
      <c r="AC55" s="230">
        <f>GETPIVOTDATA("Sum of New-Tot G SCH Calc",'Pivot Table for Fact Book'!$A$3,"State","MS","type",12,"Type2","Technical")</f>
        <v>0</v>
      </c>
      <c r="AD55" s="230">
        <f>GETPIVOTDATA("Sum of Old-Tot G SCH Calc",'Pivot Table for Fact Book'!$A$3,"State","MS","type",13,"Type2","Technical")</f>
        <v>0</v>
      </c>
      <c r="AE55" s="230">
        <f>GETPIVOTDATA("Sum of New-Tot G SCH Calc",'Pivot Table for Fact Book'!$A$3,"State","MS","type",13,"Type2","Technical")</f>
        <v>0</v>
      </c>
      <c r="AF55" s="233">
        <f>GETPIVOTDATA("Sum of Old-Tot G SCH Calc",'Pivot Table for Fact Book'!$A$3,"State","MS","Type2","Technical")</f>
        <v>0</v>
      </c>
      <c r="AG55" s="233">
        <f>GETPIVOTDATA("Sum of New-Tot G SCH Calc",'Pivot Table for Fact Book'!$A$3,"State","MS","Type2","Technical")</f>
        <v>0</v>
      </c>
      <c r="AH55" s="27"/>
    </row>
    <row r="56" spans="1:34">
      <c r="A56" s="226" t="s">
        <v>662</v>
      </c>
      <c r="B56" s="227">
        <f>GETPIVOTDATA("Sum of Old-Tot G SCH Calc",'Pivot Table for Fact Book'!$A$3,"State","NC","type",1,"Type2","Four-Year")</f>
        <v>303666</v>
      </c>
      <c r="C56" s="228">
        <f>GETPIVOTDATA("Sum of New-Tot G SCH Calc",'Pivot Table for Fact Book'!$A$3,"State","NC","type",1,"Type2","Four-Year")</f>
        <v>315151</v>
      </c>
      <c r="D56" s="227">
        <f>GETPIVOTDATA("Sum of Old-Tot G SCH Calc",'Pivot Table for Fact Book'!$A$3,"State","NC","type",2,"Type2","Four-Year")</f>
        <v>137751</v>
      </c>
      <c r="E56" s="228">
        <f>GETPIVOTDATA("Sum of New-Tot G SCH Calc",'Pivot Table for Fact Book'!$A$3,"State","NC","type",2,"Type2","Four-Year")</f>
        <v>142060</v>
      </c>
      <c r="F56" s="227">
        <f>GETPIVOTDATA("Sum of Old-Tot G SCH Calc",'Pivot Table for Fact Book'!$A$3,"State","NC","type",3,"Type2","Four-Year")</f>
        <v>260180</v>
      </c>
      <c r="G56" s="228">
        <f>GETPIVOTDATA("Sum of New-Tot G SCH Calc",'Pivot Table for Fact Book'!$A$3,"State","NC","type",3,"Type2","Four-Year")</f>
        <v>273957</v>
      </c>
      <c r="H56" s="227">
        <f>GETPIVOTDATA("Sum of Old-Tot G SCH Calc",'Pivot Table for Fact Book'!$A$3,"State","NC","type",4,"Type2","Four-Year")</f>
        <v>11314</v>
      </c>
      <c r="I56" s="228">
        <f>GETPIVOTDATA("Sum of New-Tot G SCH Calc",'Pivot Table for Fact Book'!$A$3,"State","NC","type",4,"Type2","Four-Year")</f>
        <v>9056</v>
      </c>
      <c r="J56" s="227">
        <f>GETPIVOTDATA("Sum of Old-Tot G SCH Calc",'Pivot Table for Fact Book'!$A$3,"State","NC","type",5,"Type2","Four-Year")</f>
        <v>19106</v>
      </c>
      <c r="K56" s="228">
        <f>GETPIVOTDATA("Sum of New-Tot G SCH Calc",'Pivot Table for Fact Book'!$A$3,"State","NC","type",5,"Type2","Four-Year")</f>
        <v>21059</v>
      </c>
      <c r="L56" s="227">
        <f>GETPIVOTDATA("Sum of Old-Tot G SCH Calc",'Pivot Table for Fact Book'!$A$3,"State","NC","type",6,"Type2","Four-Year")</f>
        <v>1171</v>
      </c>
      <c r="M56" s="228">
        <f>GETPIVOTDATA("Sum of New-Tot G SCH Calc",'Pivot Table for Fact Book'!$A$3,"State","NC","type",6,"Type2","Four-Year")</f>
        <v>1366</v>
      </c>
      <c r="N56" s="227">
        <f>GETPIVOTDATA("Sum of Old-Tot G SCH Calc",'Pivot Table for Fact Book'!$A$3,"State","NC","type",15,"Type2","Four-Year")</f>
        <v>0</v>
      </c>
      <c r="O56" s="228">
        <f>GETPIVOTDATA("Sum of New-Tot G SCH Calc",'Pivot Table for Fact Book'!$A$3,"State","NC","type",15,"Type2","Four-Year")</f>
        <v>0</v>
      </c>
      <c r="P56" s="229">
        <f>GETPIVOTDATA("Sum of Old-Tot G SCH Calc",'Pivot Table for Fact Book'!$A$3,"State","NC","Type2","Four-Year")</f>
        <v>733188</v>
      </c>
      <c r="Q56" s="229">
        <f>GETPIVOTDATA("Sum of New-Tot G SCH Calc",'Pivot Table for Fact Book'!$A$3,"State","NC","Type2","Four-Year")</f>
        <v>762649</v>
      </c>
      <c r="R56" s="227">
        <f>GETPIVOTDATA("Sum of Old-Tot G SCH Calc",'Pivot Table for Fact Book'!$A$3,"State","NC","type",7,"Type2","Two-Year")</f>
        <v>0</v>
      </c>
      <c r="S56" s="230">
        <f>GETPIVOTDATA("Sum of New-Tot G SCH Calc",'Pivot Table for Fact Book'!$A$3,"State","NC","type",7,"Type2","Two-Year")</f>
        <v>0</v>
      </c>
      <c r="T56" s="230">
        <f>GETPIVOTDATA("Sum of Old-Tot G SCH Calc",'Pivot Table for Fact Book'!$A$3,"State","NC","type",8,"Type2","Two-Year")</f>
        <v>0</v>
      </c>
      <c r="U56" s="230">
        <f>GETPIVOTDATA("Sum of New-Tot G SCH Calc",'Pivot Table for Fact Book'!$A$3,"State","NC","type",8,"Type2","Two-Year")</f>
        <v>0</v>
      </c>
      <c r="V56" s="230">
        <f>GETPIVOTDATA("Sum of Old-Tot G SCH Calc",'Pivot Table for Fact Book'!$A$3,"State","NC","type",9,"Type2","Two-Year")</f>
        <v>0</v>
      </c>
      <c r="W56" s="230">
        <f>GETPIVOTDATA("Sum of New-Tot G SCH Calc",'Pivot Table for Fact Book'!$A$3,"State","NC","type",9,"Type2","Two-Year")</f>
        <v>0</v>
      </c>
      <c r="X56" s="230">
        <f>GETPIVOTDATA("Sum of Old-Tot G SCH Calc",'Pivot Table for Fact Book'!$A$3,"State","NC","type",10,"Type2","Two-Year")</f>
        <v>0</v>
      </c>
      <c r="Y56" s="230">
        <f>GETPIVOTDATA("Sum of New-Tot G SCH Calc",'Pivot Table for Fact Book'!$A$3,"State","NC","type",10,"Type2","Two-Year")</f>
        <v>0</v>
      </c>
      <c r="Z56" s="231">
        <f>GETPIVOTDATA("Sum of Old-Tot G SCH Calc",'Pivot Table for Fact Book'!$A$3,"State","NC","Type2","Two-Year")</f>
        <v>0</v>
      </c>
      <c r="AA56" s="231">
        <f>GETPIVOTDATA("Sum of New-Tot G SCH Calc",'Pivot Table for Fact Book'!$A$3,"State","NC","Type2","Two-Year")</f>
        <v>0</v>
      </c>
      <c r="AB56" s="227">
        <f>GETPIVOTDATA("Sum of Old-Tot G SCH Calc",'Pivot Table for Fact Book'!$A$3,"State","NC","type",12,"Type2","Technical")</f>
        <v>0</v>
      </c>
      <c r="AC56" s="230">
        <f>GETPIVOTDATA("Sum of New-Tot G SCH Calc",'Pivot Table for Fact Book'!$A$3,"State","NC","type",12,"Type2","Technical")</f>
        <v>0</v>
      </c>
      <c r="AD56" s="230">
        <f>GETPIVOTDATA("Sum of Old-Tot G SCH Calc",'Pivot Table for Fact Book'!$A$3,"State","NC","type",13,"Type2","Technical")</f>
        <v>0</v>
      </c>
      <c r="AE56" s="230">
        <f>GETPIVOTDATA("Sum of New-Tot G SCH Calc",'Pivot Table for Fact Book'!$A$3,"State","NC","type",13,"Type2","Technical")</f>
        <v>0</v>
      </c>
      <c r="AF56" s="233">
        <f>GETPIVOTDATA("Sum of Old-Tot G SCH Calc",'Pivot Table for Fact Book'!$A$3,"State","NC","Type2","Technical")</f>
        <v>0</v>
      </c>
      <c r="AG56" s="233">
        <f>GETPIVOTDATA("Sum of New-Tot G SCH Calc",'Pivot Table for Fact Book'!$A$3,"State","NC","Type2","Technical")</f>
        <v>0</v>
      </c>
      <c r="AH56" s="27"/>
    </row>
    <row r="57" spans="1:34">
      <c r="A57" s="226" t="s">
        <v>663</v>
      </c>
      <c r="B57" s="227">
        <f>GETPIVOTDATA("Sum of Old-Tot G SCH Calc",'Pivot Table for Fact Book'!$A$3,"State","OK","type",1,"Type2","Four-Year")</f>
        <v>157136</v>
      </c>
      <c r="C57" s="228">
        <f>GETPIVOTDATA("Sum of New-Tot G SCH Calc",'Pivot Table for Fact Book'!$A$3,"State","OK","type",1,"Type2","Four-Year")</f>
        <v>185989</v>
      </c>
      <c r="D57" s="227">
        <f>GETPIVOTDATA("Sum of Old-Tot G SCH Calc",'Pivot Table for Fact Book'!$A$3,"State","OK","type",2,"Type2","Four-Year")</f>
        <v>0</v>
      </c>
      <c r="E57" s="228">
        <f>GETPIVOTDATA("Sum of New-Tot G SCH Calc",'Pivot Table for Fact Book'!$A$3,"State","OK","type",2,"Type2","Four-Year")</f>
        <v>0</v>
      </c>
      <c r="F57" s="227">
        <f>GETPIVOTDATA("Sum of Old-Tot G SCH Calc",'Pivot Table for Fact Book'!$A$3,"State","OK","type",3,"Type2","Four-Year")</f>
        <v>38114</v>
      </c>
      <c r="G57" s="228">
        <f>GETPIVOTDATA("Sum of New-Tot G SCH Calc",'Pivot Table for Fact Book'!$A$3,"State","OK","type",3,"Type2","Four-Year")</f>
        <v>43847</v>
      </c>
      <c r="H57" s="227">
        <f>GETPIVOTDATA("Sum of Old-Tot G SCH Calc",'Pivot Table for Fact Book'!$A$3,"State","OK","type",4,"Type2","Four-Year")</f>
        <v>0</v>
      </c>
      <c r="I57" s="228">
        <f>GETPIVOTDATA("Sum of New-Tot G SCH Calc",'Pivot Table for Fact Book'!$A$3,"State","OK","type",4,"Type2","Four-Year")</f>
        <v>0</v>
      </c>
      <c r="J57" s="227">
        <f>GETPIVOTDATA("Sum of Old-Tot G SCH Calc",'Pivot Table for Fact Book'!$A$3,"State","OK","type",5,"Type2","Four-Year")</f>
        <v>44846</v>
      </c>
      <c r="K57" s="228">
        <f>GETPIVOTDATA("Sum of New-Tot G SCH Calc",'Pivot Table for Fact Book'!$A$3,"State","OK","type",5,"Type2","Four-Year")</f>
        <v>49964</v>
      </c>
      <c r="L57" s="227">
        <f>GETPIVOTDATA("Sum of Old-Tot G SCH Calc",'Pivot Table for Fact Book'!$A$3,"State","OK","type",6,"Type2","Four-Year")</f>
        <v>0</v>
      </c>
      <c r="M57" s="228">
        <f>GETPIVOTDATA("Sum of New-Tot G SCH Calc",'Pivot Table for Fact Book'!$A$3,"State","OK","type",6,"Type2","Four-Year")</f>
        <v>0</v>
      </c>
      <c r="N57" s="227">
        <f>GETPIVOTDATA("Sum of Old-Tot G SCH Calc",'Pivot Table for Fact Book'!$A$3,"State","OK","type",15,"Type2","Four-Year")</f>
        <v>0</v>
      </c>
      <c r="O57" s="228">
        <f>GETPIVOTDATA("Sum of New-Tot G SCH Calc",'Pivot Table for Fact Book'!$A$3,"State","OK","type",15,"Type2","Four-Year")</f>
        <v>0</v>
      </c>
      <c r="P57" s="229">
        <f>GETPIVOTDATA("Sum of Old-Tot G SCH Calc",'Pivot Table for Fact Book'!$A$3,"State","OK","Type2","Four-Year")</f>
        <v>240096</v>
      </c>
      <c r="Q57" s="229">
        <f>GETPIVOTDATA("Sum of New-Tot G SCH Calc",'Pivot Table for Fact Book'!$A$3,"State","OK","Type2","Four-Year")</f>
        <v>279800</v>
      </c>
      <c r="R57" s="227">
        <f>GETPIVOTDATA("Sum of Old-Tot G SCH Calc",'Pivot Table for Fact Book'!$A$3,"State","OK","type",7,"Type2","Two-Year")</f>
        <v>0</v>
      </c>
      <c r="S57" s="230">
        <f>GETPIVOTDATA("Sum of New-Tot G SCH Calc",'Pivot Table for Fact Book'!$A$3,"State","OK","type",7,"Type2","Two-Year")</f>
        <v>0</v>
      </c>
      <c r="T57" s="230">
        <f>GETPIVOTDATA("Sum of Old-Tot G SCH Calc",'Pivot Table for Fact Book'!$A$3,"State","OK","type",8,"Type2","Two-Year")</f>
        <v>0</v>
      </c>
      <c r="U57" s="230">
        <f>GETPIVOTDATA("Sum of New-Tot G SCH Calc",'Pivot Table for Fact Book'!$A$3,"State","OK","type",8,"Type2","Two-Year")</f>
        <v>0</v>
      </c>
      <c r="V57" s="230">
        <f>GETPIVOTDATA("Sum of Old-Tot G SCH Calc",'Pivot Table for Fact Book'!$A$3,"State","OK","type",9,"Type2","Two-Year")</f>
        <v>0</v>
      </c>
      <c r="W57" s="230">
        <f>GETPIVOTDATA("Sum of New-Tot G SCH Calc",'Pivot Table for Fact Book'!$A$3,"State","OK","type",9,"Type2","Two-Year")</f>
        <v>0</v>
      </c>
      <c r="X57" s="230">
        <f>GETPIVOTDATA("Sum of Old-Tot G SCH Calc",'Pivot Table for Fact Book'!$A$3,"State","OK","type",10,"Type2","Two-Year")</f>
        <v>0</v>
      </c>
      <c r="Y57" s="230">
        <f>GETPIVOTDATA("Sum of New-Tot G SCH Calc",'Pivot Table for Fact Book'!$A$3,"State","OK","type",10,"Type2","Two-Year")</f>
        <v>0</v>
      </c>
      <c r="Z57" s="231">
        <f>GETPIVOTDATA("Sum of Old-Tot G SCH Calc",'Pivot Table for Fact Book'!$A$3,"State","OK","Type2","Two-Year")</f>
        <v>0</v>
      </c>
      <c r="AA57" s="231">
        <f>GETPIVOTDATA("Sum of New-Tot G SCH Calc",'Pivot Table for Fact Book'!$A$3,"State","OK","Type2","Two-Year")</f>
        <v>0</v>
      </c>
      <c r="AB57" s="227">
        <f>GETPIVOTDATA("Sum of Old-Tot G SCH Calc",'Pivot Table for Fact Book'!$A$3,"State","OK","type",12,"Type2","Technical")</f>
        <v>0</v>
      </c>
      <c r="AC57" s="230">
        <f>GETPIVOTDATA("Sum of New-Tot G SCH Calc",'Pivot Table for Fact Book'!$A$3,"State","OK","type",12,"Type2","Technical")</f>
        <v>0</v>
      </c>
      <c r="AD57" s="230">
        <f>GETPIVOTDATA("Sum of Old-Tot G SCH Calc",'Pivot Table for Fact Book'!$A$3,"State","OK","type",13,"Type2","Technical")</f>
        <v>0</v>
      </c>
      <c r="AE57" s="230">
        <f>GETPIVOTDATA("Sum of New-Tot G SCH Calc",'Pivot Table for Fact Book'!$A$3,"State","OK","type",13,"Type2","Technical")</f>
        <v>0</v>
      </c>
      <c r="AF57" s="233">
        <f>GETPIVOTDATA("Sum of Old-Tot G SCH Calc",'Pivot Table for Fact Book'!$A$3,"State","OK","Type2","Technical")</f>
        <v>0</v>
      </c>
      <c r="AG57" s="233">
        <f>GETPIVOTDATA("Sum of New-Tot G SCH Calc",'Pivot Table for Fact Book'!$A$3,"State","OK","Type2","Technical")</f>
        <v>0</v>
      </c>
      <c r="AH57" s="27"/>
    </row>
    <row r="58" spans="1:34">
      <c r="A58" s="226" t="s">
        <v>664</v>
      </c>
      <c r="B58" s="227">
        <f>GETPIVOTDATA("Sum of Old-Tot G SCH Calc",'Pivot Table for Fact Book'!$A$3,"State","SC","type",1,"Type2","Four-Year")</f>
        <v>166863</v>
      </c>
      <c r="C58" s="228">
        <f>GETPIVOTDATA("Sum of New-Tot G SCH Calc",'Pivot Table for Fact Book'!$A$3,"State","SC","type",1,"Type2","Four-Year")</f>
        <v>179093</v>
      </c>
      <c r="D58" s="227">
        <f>GETPIVOTDATA("Sum of Old-Tot G SCH Calc",'Pivot Table for Fact Book'!$A$3,"State","SC","type",2,"Type2","Four-Year")</f>
        <v>0</v>
      </c>
      <c r="E58" s="228">
        <f>GETPIVOTDATA("Sum of New-Tot G SCH Calc",'Pivot Table for Fact Book'!$A$3,"State","SC","type",2,"Type2","Four-Year")</f>
        <v>0</v>
      </c>
      <c r="F58" s="227">
        <f>GETPIVOTDATA("Sum of Old-Tot G SCH Calc",'Pivot Table for Fact Book'!$A$3,"State","SC","type",3,"Type2","Four-Year")</f>
        <v>35469</v>
      </c>
      <c r="G58" s="228">
        <f>GETPIVOTDATA("Sum of New-Tot G SCH Calc",'Pivot Table for Fact Book'!$A$3,"State","SC","type",3,"Type2","Four-Year")</f>
        <v>36433</v>
      </c>
      <c r="H58" s="227">
        <f>GETPIVOTDATA("Sum of Old-Tot G SCH Calc",'Pivot Table for Fact Book'!$A$3,"State","SC","type",4,"Type2","Four-Year")</f>
        <v>15795.5</v>
      </c>
      <c r="I58" s="228">
        <f>GETPIVOTDATA("Sum of New-Tot G SCH Calc",'Pivot Table for Fact Book'!$A$3,"State","SC","type",4,"Type2","Four-Year")</f>
        <v>15590</v>
      </c>
      <c r="J58" s="227">
        <f>GETPIVOTDATA("Sum of Old-Tot G SCH Calc",'Pivot Table for Fact Book'!$A$3,"State","SC","type",5,"Type2","Four-Year")</f>
        <v>25589</v>
      </c>
      <c r="K58" s="228">
        <f>GETPIVOTDATA("Sum of New-Tot G SCH Calc",'Pivot Table for Fact Book'!$A$3,"State","SC","type",5,"Type2","Four-Year")</f>
        <v>23565</v>
      </c>
      <c r="L58" s="227">
        <f>GETPIVOTDATA("Sum of Old-Tot G SCH Calc",'Pivot Table for Fact Book'!$A$3,"State","SC","type",6,"Type2","Four-Year")</f>
        <v>4272</v>
      </c>
      <c r="M58" s="228">
        <f>GETPIVOTDATA("Sum of New-Tot G SCH Calc",'Pivot Table for Fact Book'!$A$3,"State","SC","type",6,"Type2","Four-Year")</f>
        <v>3775</v>
      </c>
      <c r="N58" s="227">
        <f>GETPIVOTDATA("Sum of Old-Tot G SCH Calc",'Pivot Table for Fact Book'!$A$3,"State","SC","type",15,"Type2","Four-Year")</f>
        <v>0</v>
      </c>
      <c r="O58" s="228">
        <f>GETPIVOTDATA("Sum of New-Tot G SCH Calc",'Pivot Table for Fact Book'!$A$3,"State","SC","type",15,"Type2","Four-Year")</f>
        <v>0</v>
      </c>
      <c r="P58" s="229">
        <f>GETPIVOTDATA("Sum of Old-Tot G SCH Calc",'Pivot Table for Fact Book'!$A$3,"State","SC","Type2","Four-Year")</f>
        <v>247988.5</v>
      </c>
      <c r="Q58" s="229">
        <f>GETPIVOTDATA("Sum of New-Tot G SCH Calc",'Pivot Table for Fact Book'!$A$3,"State","SC","Type2","Four-Year")</f>
        <v>258456</v>
      </c>
      <c r="R58" s="227">
        <f>GETPIVOTDATA("Sum of Old-Tot G SCH Calc",'Pivot Table for Fact Book'!$A$3,"State","SC","type",7,"Type2","Two-Year")</f>
        <v>0</v>
      </c>
      <c r="S58" s="230">
        <f>GETPIVOTDATA("Sum of New-Tot G SCH Calc",'Pivot Table for Fact Book'!$A$3,"State","SC","type",7,"Type2","Two-Year")</f>
        <v>0</v>
      </c>
      <c r="T58" s="230">
        <f>GETPIVOTDATA("Sum of Old-Tot G SCH Calc",'Pivot Table for Fact Book'!$A$3,"State","SC","type",8,"Type2","Two-Year")</f>
        <v>0</v>
      </c>
      <c r="U58" s="230">
        <f>GETPIVOTDATA("Sum of New-Tot G SCH Calc",'Pivot Table for Fact Book'!$A$3,"State","SC","type",8,"Type2","Two-Year")</f>
        <v>0</v>
      </c>
      <c r="V58" s="230">
        <f>GETPIVOTDATA("Sum of Old-Tot G SCH Calc",'Pivot Table for Fact Book'!$A$3,"State","SC","type",9,"Type2","Two-Year")</f>
        <v>0</v>
      </c>
      <c r="W58" s="230">
        <f>GETPIVOTDATA("Sum of New-Tot G SCH Calc",'Pivot Table for Fact Book'!$A$3,"State","SC","type",9,"Type2","Two-Year")</f>
        <v>0</v>
      </c>
      <c r="X58" s="230">
        <f>GETPIVOTDATA("Sum of Old-Tot G SCH Calc",'Pivot Table for Fact Book'!$A$3,"State","SC","type",10,"Type2","Two-Year")</f>
        <v>0</v>
      </c>
      <c r="Y58" s="230">
        <f>GETPIVOTDATA("Sum of New-Tot G SCH Calc",'Pivot Table for Fact Book'!$A$3,"State","SC","type",10,"Type2","Two-Year")</f>
        <v>0</v>
      </c>
      <c r="Z58" s="231">
        <f>GETPIVOTDATA("Sum of Old-Tot G SCH Calc",'Pivot Table for Fact Book'!$A$3,"State","SC","Type2","Two-Year")</f>
        <v>0</v>
      </c>
      <c r="AA58" s="231">
        <f>GETPIVOTDATA("Sum of New-Tot G SCH Calc",'Pivot Table for Fact Book'!$A$3,"State","SC","Type2","Two-Year")</f>
        <v>0</v>
      </c>
      <c r="AB58" s="227">
        <f>GETPIVOTDATA("Sum of Old-Tot G SCH Calc",'Pivot Table for Fact Book'!$A$3,"State","SC","type",12,"Type2","Technical")</f>
        <v>0</v>
      </c>
      <c r="AC58" s="230">
        <f>GETPIVOTDATA("Sum of New-Tot G SCH Calc",'Pivot Table for Fact Book'!$A$3,"State","SC","type",12,"Type2","Technical")</f>
        <v>0</v>
      </c>
      <c r="AD58" s="230">
        <f>GETPIVOTDATA("Sum of Old-Tot G SCH Calc",'Pivot Table for Fact Book'!$A$3,"State","SC","type",13,"Type2","Technical")</f>
        <v>0</v>
      </c>
      <c r="AE58" s="230">
        <f>GETPIVOTDATA("Sum of New-Tot G SCH Calc",'Pivot Table for Fact Book'!$A$3,"State","SC","type",13,"Type2","Technical")</f>
        <v>0</v>
      </c>
      <c r="AF58" s="233">
        <f>GETPIVOTDATA("Sum of Old-Tot G SCH Calc",'Pivot Table for Fact Book'!$A$3,"State","SC","Type2","Technical")</f>
        <v>0</v>
      </c>
      <c r="AG58" s="233">
        <f>GETPIVOTDATA("Sum of New-Tot G SCH Calc",'Pivot Table for Fact Book'!$A$3,"State","SC","Type2","Technical")</f>
        <v>0</v>
      </c>
      <c r="AH58" s="27"/>
    </row>
    <row r="59" spans="1:34">
      <c r="A59" s="226" t="s">
        <v>665</v>
      </c>
      <c r="B59" s="227">
        <f>GETPIVOTDATA("Sum of Old-Tot G SCH Calc",'Pivot Table for Fact Book'!$A$3,"State","TN","type",1,"Type2","Four-Year")</f>
        <v>198889</v>
      </c>
      <c r="C59" s="228">
        <f>GETPIVOTDATA("Sum of New-Tot G SCH Calc",'Pivot Table for Fact Book'!$A$3,"State","TN","type",1,"Type2","Four-Year")</f>
        <v>202679</v>
      </c>
      <c r="D59" s="227">
        <f>GETPIVOTDATA("Sum of Old-Tot G SCH Calc",'Pivot Table for Fact Book'!$A$3,"State","TN","type",2,"Type2","Four-Year")</f>
        <v>0</v>
      </c>
      <c r="E59" s="228">
        <f>GETPIVOTDATA("Sum of New-Tot G SCH Calc",'Pivot Table for Fact Book'!$A$3,"State","TN","type",2,"Type2","Four-Year")</f>
        <v>0</v>
      </c>
      <c r="F59" s="227">
        <f>GETPIVOTDATA("Sum of Old-Tot G SCH Calc",'Pivot Table for Fact Book'!$A$3,"State","TN","type",3,"Type2","Four-Year")</f>
        <v>166883</v>
      </c>
      <c r="G59" s="228">
        <f>GETPIVOTDATA("Sum of New-Tot G SCH Calc",'Pivot Table for Fact Book'!$A$3,"State","TN","type",3,"Type2","Four-Year")</f>
        <v>177273</v>
      </c>
      <c r="H59" s="227">
        <f>GETPIVOTDATA("Sum of Old-Tot G SCH Calc",'Pivot Table for Fact Book'!$A$3,"State","TN","type",4,"Type2","Four-Year")</f>
        <v>13409</v>
      </c>
      <c r="I59" s="228">
        <f>GETPIVOTDATA("Sum of New-Tot G SCH Calc",'Pivot Table for Fact Book'!$A$3,"State","TN","type",4,"Type2","Four-Year")</f>
        <v>13533</v>
      </c>
      <c r="J59" s="227">
        <f>GETPIVOTDATA("Sum of Old-Tot G SCH Calc",'Pivot Table for Fact Book'!$A$3,"State","TN","type",5,"Type2","Four-Year")</f>
        <v>6274</v>
      </c>
      <c r="K59" s="228">
        <f>GETPIVOTDATA("Sum of New-Tot G SCH Calc",'Pivot Table for Fact Book'!$A$3,"State","TN","type",5,"Type2","Four-Year")</f>
        <v>7808</v>
      </c>
      <c r="L59" s="227">
        <f>GETPIVOTDATA("Sum of Old-Tot G SCH Calc",'Pivot Table for Fact Book'!$A$3,"State","TN","type",6,"Type2","Four-Year")</f>
        <v>0</v>
      </c>
      <c r="M59" s="228">
        <f>GETPIVOTDATA("Sum of New-Tot G SCH Calc",'Pivot Table for Fact Book'!$A$3,"State","TN","type",6,"Type2","Four-Year")</f>
        <v>0</v>
      </c>
      <c r="N59" s="227">
        <f>GETPIVOTDATA("Sum of Old-Tot G SCH Calc",'Pivot Table for Fact Book'!$A$3,"State","TN","type",15,"Type2","Four-Year")</f>
        <v>0</v>
      </c>
      <c r="O59" s="228">
        <f>GETPIVOTDATA("Sum of New-Tot G SCH Calc",'Pivot Table for Fact Book'!$A$3,"State","TN","type",15,"Type2","Four-Year")</f>
        <v>0</v>
      </c>
      <c r="P59" s="229">
        <f>GETPIVOTDATA("Sum of Old-Tot G SCH Calc",'Pivot Table for Fact Book'!$A$3,"State","TN","Type2","Four-Year")</f>
        <v>385455</v>
      </c>
      <c r="Q59" s="229">
        <f>GETPIVOTDATA("Sum of New-Tot G SCH Calc",'Pivot Table for Fact Book'!$A$3,"State","TN","Type2","Four-Year")</f>
        <v>401293</v>
      </c>
      <c r="R59" s="227">
        <f>GETPIVOTDATA("Sum of Old-Tot G SCH Calc",'Pivot Table for Fact Book'!$A$3,"State","TN","type",7,"Type2","Two-Year")</f>
        <v>0</v>
      </c>
      <c r="S59" s="230">
        <f>GETPIVOTDATA("Sum of New-Tot G SCH Calc",'Pivot Table for Fact Book'!$A$3,"State","TN","type",7,"Type2","Two-Year")</f>
        <v>0</v>
      </c>
      <c r="T59" s="230">
        <f>GETPIVOTDATA("Sum of Old-Tot G SCH Calc",'Pivot Table for Fact Book'!$A$3,"State","TN","type",8,"Type2","Two-Year")</f>
        <v>0</v>
      </c>
      <c r="U59" s="230">
        <f>GETPIVOTDATA("Sum of New-Tot G SCH Calc",'Pivot Table for Fact Book'!$A$3,"State","TN","type",8,"Type2","Two-Year")</f>
        <v>0</v>
      </c>
      <c r="V59" s="230">
        <f>GETPIVOTDATA("Sum of Old-Tot G SCH Calc",'Pivot Table for Fact Book'!$A$3,"State","TN","type",9,"Type2","Two-Year")</f>
        <v>0</v>
      </c>
      <c r="W59" s="230">
        <f>GETPIVOTDATA("Sum of New-Tot G SCH Calc",'Pivot Table for Fact Book'!$A$3,"State","TN","type",9,"Type2","Two-Year")</f>
        <v>0</v>
      </c>
      <c r="X59" s="230">
        <f>GETPIVOTDATA("Sum of Old-Tot G SCH Calc",'Pivot Table for Fact Book'!$A$3,"State","TN","type",10,"Type2","Two-Year")</f>
        <v>0</v>
      </c>
      <c r="Y59" s="230">
        <f>GETPIVOTDATA("Sum of New-Tot G SCH Calc",'Pivot Table for Fact Book'!$A$3,"State","TN","type",10,"Type2","Two-Year")</f>
        <v>0</v>
      </c>
      <c r="Z59" s="231">
        <f>GETPIVOTDATA("Sum of Old-Tot G SCH Calc",'Pivot Table for Fact Book'!$A$3,"State","TN","Type2","Two-Year")</f>
        <v>0</v>
      </c>
      <c r="AA59" s="231">
        <f>GETPIVOTDATA("Sum of New-Tot G SCH Calc",'Pivot Table for Fact Book'!$A$3,"State","TN","Type2","Two-Year")</f>
        <v>0</v>
      </c>
      <c r="AB59" s="227">
        <f>GETPIVOTDATA("Sum of Old-Tot G SCH Calc",'Pivot Table for Fact Book'!$A$3,"State","TN","type",12,"Type2","Technical")</f>
        <v>0</v>
      </c>
      <c r="AC59" s="230">
        <f>GETPIVOTDATA("Sum of New-Tot G SCH Calc",'Pivot Table for Fact Book'!$A$3,"State","TN","type",12,"Type2","Technical")</f>
        <v>0</v>
      </c>
      <c r="AD59" s="230">
        <f>GETPIVOTDATA("Sum of Old-Tot G SCH Calc",'Pivot Table for Fact Book'!$A$3,"State","TN","type",13,"Type2","Technical")</f>
        <v>0</v>
      </c>
      <c r="AE59" s="230">
        <f>GETPIVOTDATA("Sum of New-Tot G SCH Calc",'Pivot Table for Fact Book'!$A$3,"State","TN","type",13,"Type2","Technical")</f>
        <v>0</v>
      </c>
      <c r="AF59" s="233">
        <f>GETPIVOTDATA("Sum of Old-Tot G SCH Calc",'Pivot Table for Fact Book'!$A$3,"State","TN","Type2","Technical")</f>
        <v>0</v>
      </c>
      <c r="AG59" s="233">
        <f>GETPIVOTDATA("Sum of New-Tot G SCH Calc",'Pivot Table for Fact Book'!$A$3,"State","TN","Type2","Technical")</f>
        <v>0</v>
      </c>
      <c r="AH59" s="27"/>
    </row>
    <row r="60" spans="1:34">
      <c r="A60" s="226" t="s">
        <v>666</v>
      </c>
      <c r="B60" s="227">
        <f>GETPIVOTDATA("Sum of Old-Tot G SCH Calc",'Pivot Table for Fact Book'!$A$3,"State","TX","type",1,"Type2","Four-Year")</f>
        <v>991581</v>
      </c>
      <c r="C60" s="228">
        <f>GETPIVOTDATA("Sum of New-Tot G SCH Calc",'Pivot Table for Fact Book'!$A$3,"State","TX","type",1,"Type2","Four-Year")</f>
        <v>1023831</v>
      </c>
      <c r="D60" s="227">
        <f>GETPIVOTDATA("Sum of Old-Tot G SCH Calc",'Pivot Table for Fact Book'!$A$3,"State","TX","type",2,"Type2","Four-Year")</f>
        <v>190617</v>
      </c>
      <c r="E60" s="228">
        <f>GETPIVOTDATA("Sum of New-Tot G SCH Calc",'Pivot Table for Fact Book'!$A$3,"State","TX","type",2,"Type2","Four-Year")</f>
        <v>202781</v>
      </c>
      <c r="F60" s="227">
        <f>GETPIVOTDATA("Sum of Old-Tot G SCH Calc",'Pivot Table for Fact Book'!$A$3,"State","TX","type",3,"Type2","Four-Year")</f>
        <v>602961</v>
      </c>
      <c r="G60" s="228">
        <f>GETPIVOTDATA("Sum of New-Tot G SCH Calc",'Pivot Table for Fact Book'!$A$3,"State","TX","type",3,"Type2","Four-Year")</f>
        <v>627691</v>
      </c>
      <c r="H60" s="227">
        <f>GETPIVOTDATA("Sum of Old-Tot G SCH Calc",'Pivot Table for Fact Book'!$A$3,"State","TX","type",4,"Type2","Four-Year")</f>
        <v>52310</v>
      </c>
      <c r="I60" s="228">
        <f>GETPIVOTDATA("Sum of New-Tot G SCH Calc",'Pivot Table for Fact Book'!$A$3,"State","TX","type",4,"Type2","Four-Year")</f>
        <v>56044</v>
      </c>
      <c r="J60" s="227">
        <f>GETPIVOTDATA("Sum of Old-Tot G SCH Calc",'Pivot Table for Fact Book'!$A$3,"State","TX","type",5,"Type2","Four-Year")</f>
        <v>4950</v>
      </c>
      <c r="K60" s="228">
        <f>GETPIVOTDATA("Sum of New-Tot G SCH Calc",'Pivot Table for Fact Book'!$A$3,"State","TX","type",5,"Type2","Four-Year")</f>
        <v>5490</v>
      </c>
      <c r="L60" s="227">
        <f>GETPIVOTDATA("Sum of Old-Tot G SCH Calc",'Pivot Table for Fact Book'!$A$3,"State","TX","type",6,"Type2","Four-Year")</f>
        <v>824</v>
      </c>
      <c r="M60" s="228">
        <f>GETPIVOTDATA("Sum of New-Tot G SCH Calc",'Pivot Table for Fact Book'!$A$3,"State","TX","type",6,"Type2","Four-Year")</f>
        <v>874</v>
      </c>
      <c r="N60" s="227">
        <f>GETPIVOTDATA("Sum of Old-Tot G SCH Calc",'Pivot Table for Fact Book'!$A$3,"State","TX","type",15,"Type2","Four-Year")</f>
        <v>0</v>
      </c>
      <c r="O60" s="228">
        <f>GETPIVOTDATA("Sum of New-Tot G SCH Calc",'Pivot Table for Fact Book'!$A$3,"State","TX","type",15,"Type2","Four-Year")</f>
        <v>0</v>
      </c>
      <c r="P60" s="229">
        <f>GETPIVOTDATA("Sum of Old-Tot G SCH Calc",'Pivot Table for Fact Book'!$A$3,"State","TX","Type2","Four-Year")</f>
        <v>1843243</v>
      </c>
      <c r="Q60" s="229">
        <f>GETPIVOTDATA("Sum of New-Tot G SCH Calc",'Pivot Table for Fact Book'!$A$3,"State","TX","Type2","Four-Year")</f>
        <v>1916711</v>
      </c>
      <c r="R60" s="227">
        <f>GETPIVOTDATA("Sum of Old-Tot G SCH Calc",'Pivot Table for Fact Book'!$A$3,"State","TX","type",7,"Type2","Two-Year")</f>
        <v>0</v>
      </c>
      <c r="S60" s="230">
        <f>GETPIVOTDATA("Sum of New-Tot G SCH Calc",'Pivot Table for Fact Book'!$A$3,"State","TX","type",7,"Type2","Two-Year")</f>
        <v>0</v>
      </c>
      <c r="T60" s="230">
        <f>GETPIVOTDATA("Sum of Old-Tot G SCH Calc",'Pivot Table for Fact Book'!$A$3,"State","TX","type",8,"Type2","Two-Year")</f>
        <v>0</v>
      </c>
      <c r="U60" s="230">
        <f>GETPIVOTDATA("Sum of New-Tot G SCH Calc",'Pivot Table for Fact Book'!$A$3,"State","TX","type",8,"Type2","Two-Year")</f>
        <v>0</v>
      </c>
      <c r="V60" s="230">
        <f>GETPIVOTDATA("Sum of Old-Tot G SCH Calc",'Pivot Table for Fact Book'!$A$3,"State","TX","type",9,"Type2","Two-Year")</f>
        <v>0</v>
      </c>
      <c r="W60" s="230">
        <f>GETPIVOTDATA("Sum of New-Tot G SCH Calc",'Pivot Table for Fact Book'!$A$3,"State","TX","type",9,"Type2","Two-Year")</f>
        <v>0</v>
      </c>
      <c r="X60" s="230">
        <f>GETPIVOTDATA("Sum of Old-Tot G SCH Calc",'Pivot Table for Fact Book'!$A$3,"State","TX","type",10,"Type2","Two-Year")</f>
        <v>0</v>
      </c>
      <c r="Y60" s="230">
        <f>GETPIVOTDATA("Sum of New-Tot G SCH Calc",'Pivot Table for Fact Book'!$A$3,"State","TX","type",10,"Type2","Two-Year")</f>
        <v>0</v>
      </c>
      <c r="Z60" s="231">
        <f>GETPIVOTDATA("Sum of Old-Tot G SCH Calc",'Pivot Table for Fact Book'!$A$3,"State","TX","Type2","Two-Year")</f>
        <v>0</v>
      </c>
      <c r="AA60" s="231">
        <f>GETPIVOTDATA("Sum of New-Tot G SCH Calc",'Pivot Table for Fact Book'!$A$3,"State","TX","Type2","Two-Year")</f>
        <v>0</v>
      </c>
      <c r="AB60" s="227">
        <f>GETPIVOTDATA("Sum of Old-Tot G SCH Calc",'Pivot Table for Fact Book'!$A$3,"State","TX","type",12,"Type2","Technical")</f>
        <v>0</v>
      </c>
      <c r="AC60" s="230">
        <f>GETPIVOTDATA("Sum of New-Tot G SCH Calc",'Pivot Table for Fact Book'!$A$3,"State","TX","type",12,"Type2","Technical")</f>
        <v>0</v>
      </c>
      <c r="AD60" s="230">
        <f>GETPIVOTDATA("Sum of Old-Tot G SCH Calc",'Pivot Table for Fact Book'!$A$3,"State","TX","type",13,"Type2","Technical")</f>
        <v>0</v>
      </c>
      <c r="AE60" s="230">
        <f>GETPIVOTDATA("Sum of New-Tot G SCH Calc",'Pivot Table for Fact Book'!$A$3,"State","TX","type",13,"Type2","Technical")</f>
        <v>0</v>
      </c>
      <c r="AF60" s="233">
        <f>GETPIVOTDATA("Sum of Old-Tot G SCH Calc",'Pivot Table for Fact Book'!$A$3,"State","TX","Type2","Technical")</f>
        <v>0</v>
      </c>
      <c r="AG60" s="233">
        <f>GETPIVOTDATA("Sum of New-Tot G SCH Calc",'Pivot Table for Fact Book'!$A$3,"State","TX","Type2","Technical")</f>
        <v>0</v>
      </c>
      <c r="AH60" s="27"/>
    </row>
    <row r="61" spans="1:34">
      <c r="A61" s="226" t="s">
        <v>667</v>
      </c>
      <c r="B61" s="227">
        <f>GETPIVOTDATA("Sum of Old-Tot G SCH Calc",'Pivot Table for Fact Book'!$A$3,"State","VA","type",1,"Type2","Four-Year")</f>
        <v>0</v>
      </c>
      <c r="C61" s="228">
        <f>GETPIVOTDATA("Sum of New-Tot G SCH Calc",'Pivot Table for Fact Book'!$A$3,"State","VA","type",1,"Type2","Four-Year")</f>
        <v>0</v>
      </c>
      <c r="D61" s="227">
        <f>GETPIVOTDATA("Sum of Old-Tot G SCH Calc",'Pivot Table for Fact Book'!$A$3,"State","VA","type",2,"Type2","Four-Year")</f>
        <v>0</v>
      </c>
      <c r="E61" s="228">
        <f>GETPIVOTDATA("Sum of New-Tot G SCH Calc",'Pivot Table for Fact Book'!$A$3,"State","VA","type",2,"Type2","Four-Year")</f>
        <v>0</v>
      </c>
      <c r="F61" s="227">
        <f>GETPIVOTDATA("Sum of Old-Tot G SCH Calc",'Pivot Table for Fact Book'!$A$3,"State","VA","type",3,"Type2","Four-Year")</f>
        <v>0</v>
      </c>
      <c r="G61" s="228">
        <f>GETPIVOTDATA("Sum of New-Tot G SCH Calc",'Pivot Table for Fact Book'!$A$3,"State","VA","type",3,"Type2","Four-Year")</f>
        <v>0</v>
      </c>
      <c r="H61" s="227">
        <f>GETPIVOTDATA("Sum of Old-Tot G SCH Calc",'Pivot Table for Fact Book'!$A$3,"State","VA","type",4,"Type2","Four-Year")</f>
        <v>0</v>
      </c>
      <c r="I61" s="228">
        <f>GETPIVOTDATA("Sum of New-Tot G SCH Calc",'Pivot Table for Fact Book'!$A$3,"State","VA","type",4,"Type2","Four-Year")</f>
        <v>0</v>
      </c>
      <c r="J61" s="227">
        <f>GETPIVOTDATA("Sum of Old-Tot G SCH Calc",'Pivot Table for Fact Book'!$A$3,"State","VA","type",5,"Type2","Four-Year")</f>
        <v>0</v>
      </c>
      <c r="K61" s="228">
        <f>GETPIVOTDATA("Sum of New-Tot G SCH Calc",'Pivot Table for Fact Book'!$A$3,"State","VA","type",5,"Type2","Four-Year")</f>
        <v>0</v>
      </c>
      <c r="L61" s="227">
        <f>GETPIVOTDATA("Sum of Old-Tot G SCH Calc",'Pivot Table for Fact Book'!$A$3,"State","VA","type",6,"Type2","Four-Year")</f>
        <v>0</v>
      </c>
      <c r="M61" s="228">
        <f>GETPIVOTDATA("Sum of New-Tot G SCH Calc",'Pivot Table for Fact Book'!$A$3,"State","VA","type",6,"Type2","Four-Year")</f>
        <v>0</v>
      </c>
      <c r="N61" s="227">
        <f>GETPIVOTDATA("Sum of Old-Tot G SCH Calc",'Pivot Table for Fact Book'!$A$3,"State","VA","type",15,"Type2","Four-Year")</f>
        <v>0</v>
      </c>
      <c r="O61" s="228">
        <f>GETPIVOTDATA("Sum of New-Tot G SCH Calc",'Pivot Table for Fact Book'!$A$3,"State","VA","type",15,"Type2","Four-Year")</f>
        <v>0</v>
      </c>
      <c r="P61" s="229">
        <f>GETPIVOTDATA("Sum of Old-Tot G SCH Calc",'Pivot Table for Fact Book'!$A$3,"State","VA","Type2","Four-Year")</f>
        <v>0</v>
      </c>
      <c r="Q61" s="229">
        <f>GETPIVOTDATA("Sum of New-Tot G SCH Calc",'Pivot Table for Fact Book'!$A$3,"State","VA","Type2","Four-Year")</f>
        <v>0</v>
      </c>
      <c r="R61" s="227">
        <f>GETPIVOTDATA("Sum of Old-Tot G SCH Calc",'Pivot Table for Fact Book'!$A$3,"State","VA","type",7,"Type2","Two-Year")</f>
        <v>0</v>
      </c>
      <c r="S61" s="230">
        <f>GETPIVOTDATA("Sum of New-Tot G SCH Calc",'Pivot Table for Fact Book'!$A$3,"State","VA","type",7,"Type2","Two-Year")</f>
        <v>0</v>
      </c>
      <c r="T61" s="230">
        <f>GETPIVOTDATA("Sum of Old-Tot G SCH Calc",'Pivot Table for Fact Book'!$A$3,"State","VA","type",8,"Type2","Two-Year")</f>
        <v>0</v>
      </c>
      <c r="U61" s="230">
        <f>GETPIVOTDATA("Sum of New-Tot G SCH Calc",'Pivot Table for Fact Book'!$A$3,"State","VA","type",8,"Type2","Two-Year")</f>
        <v>0</v>
      </c>
      <c r="V61" s="230">
        <f>GETPIVOTDATA("Sum of Old-Tot G SCH Calc",'Pivot Table for Fact Book'!$A$3,"State","VA","type",9,"Type2","Two-Year")</f>
        <v>0</v>
      </c>
      <c r="W61" s="230">
        <f>GETPIVOTDATA("Sum of New-Tot G SCH Calc",'Pivot Table for Fact Book'!$A$3,"State","VA","type",9,"Type2","Two-Year")</f>
        <v>0</v>
      </c>
      <c r="X61" s="230">
        <f>GETPIVOTDATA("Sum of Old-Tot G SCH Calc",'Pivot Table for Fact Book'!$A$3,"State","VA","type",10,"Type2","Two-Year")</f>
        <v>0</v>
      </c>
      <c r="Y61" s="230">
        <f>GETPIVOTDATA("Sum of New-Tot G SCH Calc",'Pivot Table for Fact Book'!$A$3,"State","VA","type",10,"Type2","Two-Year")</f>
        <v>0</v>
      </c>
      <c r="Z61" s="231">
        <f>GETPIVOTDATA("Sum of Old-Tot G SCH Calc",'Pivot Table for Fact Book'!$A$3,"State","VA","Type2","Two-Year")</f>
        <v>0</v>
      </c>
      <c r="AA61" s="231">
        <f>GETPIVOTDATA("Sum of New-Tot G SCH Calc",'Pivot Table for Fact Book'!$A$3,"State","VA","Type2","Two-Year")</f>
        <v>0</v>
      </c>
      <c r="AB61" s="227">
        <f>GETPIVOTDATA("Sum of Old-Tot G SCH Calc",'Pivot Table for Fact Book'!$A$3,"State","VA","type",12,"Type2","Technical")</f>
        <v>0</v>
      </c>
      <c r="AC61" s="230">
        <f>GETPIVOTDATA("Sum of New-Tot G SCH Calc",'Pivot Table for Fact Book'!$A$3,"State","VA","type",12,"Type2","Technical")</f>
        <v>0</v>
      </c>
      <c r="AD61" s="230">
        <f>GETPIVOTDATA("Sum of Old-Tot G SCH Calc",'Pivot Table for Fact Book'!$A$3,"State","VA","type",13,"Type2","Technical")</f>
        <v>0</v>
      </c>
      <c r="AE61" s="230">
        <f>GETPIVOTDATA("Sum of New-Tot G SCH Calc",'Pivot Table for Fact Book'!$A$3,"State","VA","type",13,"Type2","Technical")</f>
        <v>0</v>
      </c>
      <c r="AF61" s="233">
        <f>GETPIVOTDATA("Sum of Old-Tot G SCH Calc",'Pivot Table for Fact Book'!$A$3,"State","VA","Type2","Technical")</f>
        <v>0</v>
      </c>
      <c r="AG61" s="233">
        <f>GETPIVOTDATA("Sum of New-Tot G SCH Calc",'Pivot Table for Fact Book'!$A$3,"State","VA","Type2","Technical")</f>
        <v>0</v>
      </c>
      <c r="AH61" s="27"/>
    </row>
    <row r="62" spans="1:34">
      <c r="A62" s="226" t="s">
        <v>668</v>
      </c>
      <c r="B62" s="227">
        <f>GETPIVOTDATA("Sum of Old-Tot G SCH Calc",'Pivot Table for Fact Book'!$A$3,"State","WV","type",1,"Type2","Four-Year")</f>
        <v>111195</v>
      </c>
      <c r="C62" s="228">
        <f>GETPIVOTDATA("Sum of New-Tot G SCH Calc",'Pivot Table for Fact Book'!$A$3,"State","WV","type",1,"Type2","Four-Year")</f>
        <v>112343</v>
      </c>
      <c r="D62" s="227">
        <f>GETPIVOTDATA("Sum of Old-Tot G SCH Calc",'Pivot Table for Fact Book'!$A$3,"State","WV","type",2,"Type2","Four-Year")</f>
        <v>0</v>
      </c>
      <c r="E62" s="228">
        <f>GETPIVOTDATA("Sum of New-Tot G SCH Calc",'Pivot Table for Fact Book'!$A$3,"State","WV","type",2,"Type2","Four-Year")</f>
        <v>0</v>
      </c>
      <c r="F62" s="227">
        <f>GETPIVOTDATA("Sum of Old-Tot G SCH Calc",'Pivot Table for Fact Book'!$A$3,"State","WV","type",3,"Type2","Four-Year")</f>
        <v>56858</v>
      </c>
      <c r="G62" s="228">
        <f>GETPIVOTDATA("Sum of New-Tot G SCH Calc",'Pivot Table for Fact Book'!$A$3,"State","WV","type",3,"Type2","Four-Year")</f>
        <v>55755</v>
      </c>
      <c r="H62" s="227">
        <f>GETPIVOTDATA("Sum of Old-Tot G SCH Calc",'Pivot Table for Fact Book'!$A$3,"State","WV","type",4,"Type2","Four-Year")</f>
        <v>0</v>
      </c>
      <c r="I62" s="228">
        <f>GETPIVOTDATA("Sum of New-Tot G SCH Calc",'Pivot Table for Fact Book'!$A$3,"State","WV","type",4,"Type2","Four-Year")</f>
        <v>0</v>
      </c>
      <c r="J62" s="227">
        <f>GETPIVOTDATA("Sum of Old-Tot G SCH Calc",'Pivot Table for Fact Book'!$A$3,"State","WV","type",5,"Type2","Four-Year")</f>
        <v>6242</v>
      </c>
      <c r="K62" s="228">
        <f>GETPIVOTDATA("Sum of New-Tot G SCH Calc",'Pivot Table for Fact Book'!$A$3,"State","WV","type",5,"Type2","Four-Year")</f>
        <v>5478</v>
      </c>
      <c r="L62" s="227">
        <f>GETPIVOTDATA("Sum of Old-Tot G SCH Calc",'Pivot Table for Fact Book'!$A$3,"State","WV","type",6,"Type2","Four-Year")</f>
        <v>4660</v>
      </c>
      <c r="M62" s="228">
        <f>GETPIVOTDATA("Sum of New-Tot G SCH Calc",'Pivot Table for Fact Book'!$A$3,"State","WV","type",6,"Type2","Four-Year")</f>
        <v>6754</v>
      </c>
      <c r="N62" s="227">
        <f>GETPIVOTDATA("Sum of Old-Tot G SCH Calc",'Pivot Table for Fact Book'!$A$3,"State","WV","type",15,"Type2","Four-Year")</f>
        <v>0</v>
      </c>
      <c r="O62" s="228">
        <f>GETPIVOTDATA("Sum of New-Tot G SCH Calc",'Pivot Table for Fact Book'!$A$3,"State","WV","type",15,"Type2","Four-Year")</f>
        <v>0</v>
      </c>
      <c r="P62" s="229">
        <f>GETPIVOTDATA("Sum of Old-Tot G SCH Calc",'Pivot Table for Fact Book'!$A$3,"State","WV","Type2","Four-Year")</f>
        <v>178955</v>
      </c>
      <c r="Q62" s="229">
        <f>GETPIVOTDATA("Sum of New-Tot G SCH Calc",'Pivot Table for Fact Book'!$A$3,"State","WV","Type2","Four-Year")</f>
        <v>180330</v>
      </c>
      <c r="R62" s="227">
        <f>GETPIVOTDATA("Sum of Old-Tot G SCH Calc",'Pivot Table for Fact Book'!$A$3,"State","WV","type",7,"Type2","Two-Year")</f>
        <v>0</v>
      </c>
      <c r="S62" s="230">
        <f>GETPIVOTDATA("Sum of New-Tot G SCH Calc",'Pivot Table for Fact Book'!$A$3,"State","WV","type",7,"Type2","Two-Year")</f>
        <v>0</v>
      </c>
      <c r="T62" s="230">
        <f>GETPIVOTDATA("Sum of Old-Tot G SCH Calc",'Pivot Table for Fact Book'!$A$3,"State","WV","type",8,"Type2","Two-Year")</f>
        <v>0</v>
      </c>
      <c r="U62" s="230">
        <f>GETPIVOTDATA("Sum of New-Tot G SCH Calc",'Pivot Table for Fact Book'!$A$3,"State","WV","type",8,"Type2","Two-Year")</f>
        <v>0</v>
      </c>
      <c r="V62" s="230">
        <f>GETPIVOTDATA("Sum of Old-Tot G SCH Calc",'Pivot Table for Fact Book'!$A$3,"State","WV","type",9,"Type2","Two-Year")</f>
        <v>0</v>
      </c>
      <c r="W62" s="230">
        <f>GETPIVOTDATA("Sum of New-Tot G SCH Calc",'Pivot Table for Fact Book'!$A$3,"State","WV","type",9,"Type2","Two-Year")</f>
        <v>0</v>
      </c>
      <c r="X62" s="230">
        <f>GETPIVOTDATA("Sum of Old-Tot G SCH Calc",'Pivot Table for Fact Book'!$A$3,"State","WV","type",10,"Type2","Two-Year")</f>
        <v>0</v>
      </c>
      <c r="Y62" s="230">
        <f>GETPIVOTDATA("Sum of New-Tot G SCH Calc",'Pivot Table for Fact Book'!$A$3,"State","WV","type",10,"Type2","Two-Year")</f>
        <v>6</v>
      </c>
      <c r="Z62" s="231">
        <f>GETPIVOTDATA("Sum of Old-Tot G SCH Calc",'Pivot Table for Fact Book'!$A$3,"State","WV","Type2","Two-Year")</f>
        <v>0</v>
      </c>
      <c r="AA62" s="231">
        <f>GETPIVOTDATA("Sum of New-Tot G SCH Calc",'Pivot Table for Fact Book'!$A$3,"State","WV","Type2","Two-Year")</f>
        <v>6</v>
      </c>
      <c r="AB62" s="227">
        <f>GETPIVOTDATA("Sum of Old-Tot G SCH Calc",'Pivot Table for Fact Book'!$A$3,"State","WV","type",12,"Type2","Technical")</f>
        <v>0</v>
      </c>
      <c r="AC62" s="230">
        <f>GETPIVOTDATA("Sum of New-Tot G SCH Calc",'Pivot Table for Fact Book'!$A$3,"State","WV","type",12,"Type2","Technical")</f>
        <v>0</v>
      </c>
      <c r="AD62" s="230">
        <f>GETPIVOTDATA("Sum of Old-Tot G SCH Calc",'Pivot Table for Fact Book'!$A$3,"State","WV","type",13,"Type2","Technical")</f>
        <v>0</v>
      </c>
      <c r="AE62" s="230">
        <f>GETPIVOTDATA("Sum of New-Tot G SCH Calc",'Pivot Table for Fact Book'!$A$3,"State","WV","type",13,"Type2","Technical")</f>
        <v>0</v>
      </c>
      <c r="AF62" s="233">
        <f>GETPIVOTDATA("Sum of Old-Tot G SCH Calc",'Pivot Table for Fact Book'!$A$3,"State","WV","Type2","Technical")</f>
        <v>0</v>
      </c>
      <c r="AG62" s="233">
        <f>GETPIVOTDATA("Sum of New-Tot G SCH Calc",'Pivot Table for Fact Book'!$A$3,"State","WV","Type2","Technical")</f>
        <v>0</v>
      </c>
      <c r="AH62" s="27"/>
    </row>
    <row r="64" spans="1:34">
      <c r="A64" s="77" t="s">
        <v>713</v>
      </c>
    </row>
    <row r="65" spans="1:34">
      <c r="A65" s="28"/>
      <c r="B65" s="211" t="s">
        <v>707</v>
      </c>
      <c r="C65" s="212"/>
      <c r="D65" s="212"/>
      <c r="E65" s="212"/>
      <c r="F65" s="212"/>
      <c r="G65" s="212"/>
      <c r="H65" s="212"/>
      <c r="I65" s="212"/>
      <c r="J65" s="212"/>
      <c r="K65" s="212"/>
      <c r="L65" s="212"/>
      <c r="M65" s="212"/>
      <c r="N65" s="212"/>
      <c r="O65" s="212"/>
      <c r="P65" s="212"/>
      <c r="Q65" s="213"/>
      <c r="R65" s="214" t="s">
        <v>708</v>
      </c>
      <c r="S65" s="215"/>
      <c r="T65" s="215"/>
      <c r="U65" s="215"/>
      <c r="V65" s="215"/>
      <c r="W65" s="215"/>
      <c r="X65" s="215"/>
      <c r="Y65" s="215"/>
      <c r="Z65" s="215"/>
      <c r="AA65" s="216"/>
      <c r="AB65" s="217" t="s">
        <v>709</v>
      </c>
      <c r="AC65" s="218"/>
      <c r="AD65" s="218"/>
      <c r="AE65" s="218"/>
      <c r="AF65" s="218"/>
      <c r="AG65" s="218"/>
    </row>
    <row r="66" spans="1:34">
      <c r="B66" s="219">
        <v>1</v>
      </c>
      <c r="C66" s="220"/>
      <c r="D66" s="219">
        <v>2</v>
      </c>
      <c r="E66" s="220"/>
      <c r="F66" s="219">
        <v>3</v>
      </c>
      <c r="G66" s="220"/>
      <c r="H66" s="219">
        <v>4</v>
      </c>
      <c r="I66" s="220"/>
      <c r="J66" s="219">
        <v>5</v>
      </c>
      <c r="K66" s="220"/>
      <c r="L66" s="219">
        <v>6</v>
      </c>
      <c r="M66" s="220"/>
      <c r="N66" s="219">
        <v>15</v>
      </c>
      <c r="O66" s="220"/>
      <c r="P66" s="219" t="s">
        <v>710</v>
      </c>
      <c r="Q66" s="221"/>
      <c r="R66" s="222">
        <v>7</v>
      </c>
      <c r="S66" s="223"/>
      <c r="T66" s="222">
        <v>8</v>
      </c>
      <c r="U66" s="223"/>
      <c r="V66" s="222">
        <v>9</v>
      </c>
      <c r="W66" s="223"/>
      <c r="X66" s="222">
        <v>10</v>
      </c>
      <c r="Y66" s="223"/>
      <c r="Z66" s="222" t="s">
        <v>710</v>
      </c>
      <c r="AA66" s="223"/>
      <c r="AB66" s="224">
        <v>12</v>
      </c>
      <c r="AC66" s="225"/>
      <c r="AD66" s="224">
        <v>13</v>
      </c>
      <c r="AE66" s="225"/>
      <c r="AF66" s="224" t="s">
        <v>710</v>
      </c>
      <c r="AG66" s="225"/>
    </row>
    <row r="67" spans="1:34">
      <c r="B67" s="602">
        <v>2009</v>
      </c>
      <c r="C67" s="603">
        <v>2010</v>
      </c>
      <c r="D67" s="602">
        <v>2009</v>
      </c>
      <c r="E67" s="603">
        <v>2010</v>
      </c>
      <c r="F67" s="602">
        <v>2009</v>
      </c>
      <c r="G67" s="603">
        <v>2010</v>
      </c>
      <c r="H67" s="602">
        <v>2009</v>
      </c>
      <c r="I67" s="603">
        <v>2010</v>
      </c>
      <c r="J67" s="602">
        <v>2009</v>
      </c>
      <c r="K67" s="603">
        <v>2010</v>
      </c>
      <c r="L67" s="602">
        <v>2009</v>
      </c>
      <c r="M67" s="603">
        <v>2010</v>
      </c>
      <c r="N67" s="602">
        <v>2009</v>
      </c>
      <c r="O67" s="603">
        <v>2010</v>
      </c>
      <c r="P67" s="602">
        <v>2009</v>
      </c>
      <c r="Q67" s="603">
        <v>2010</v>
      </c>
      <c r="R67" s="604">
        <v>2009</v>
      </c>
      <c r="S67" s="605">
        <v>2010</v>
      </c>
      <c r="T67" s="604">
        <v>2009</v>
      </c>
      <c r="U67" s="605">
        <v>2010</v>
      </c>
      <c r="V67" s="604">
        <v>2009</v>
      </c>
      <c r="W67" s="605">
        <v>2010</v>
      </c>
      <c r="X67" s="604">
        <v>2009</v>
      </c>
      <c r="Y67" s="605">
        <v>2010</v>
      </c>
      <c r="Z67" s="604">
        <v>2009</v>
      </c>
      <c r="AA67" s="605">
        <v>2010</v>
      </c>
      <c r="AB67" s="606">
        <v>2009</v>
      </c>
      <c r="AC67" s="607">
        <v>2010</v>
      </c>
      <c r="AD67" s="606">
        <v>2009</v>
      </c>
      <c r="AE67" s="607">
        <v>2010</v>
      </c>
      <c r="AF67" s="606">
        <v>2009</v>
      </c>
      <c r="AG67" s="607">
        <v>2010</v>
      </c>
      <c r="AH67" s="27"/>
    </row>
    <row r="68" spans="1:34">
      <c r="A68" s="226" t="s">
        <v>653</v>
      </c>
      <c r="B68" s="227">
        <f>GETPIVOTDATA("Sum of Old G E-Learning",'Pivot Table for Fact Book'!$A$3,"State","AL","type",1,"Type2","Four-Year")</f>
        <v>20445</v>
      </c>
      <c r="C68" s="228">
        <f>GETPIVOTDATA("Sum of New G E-Learning",'Pivot Table for Fact Book'!$A$3,"State","AL","type",1,"Type2","Four-Year")</f>
        <v>26540</v>
      </c>
      <c r="D68" s="227">
        <f>GETPIVOTDATA("Sum of Old G E-Learning",'Pivot Table for Fact Book'!$A$3,"State","AL","type",2,"Type2","Four-Year")</f>
        <v>2641</v>
      </c>
      <c r="E68" s="228">
        <f>GETPIVOTDATA("Sum of New G E-Learning",'Pivot Table for Fact Book'!$A$3,"State","AL","type",2,"Type2","Four-Year")</f>
        <v>3310</v>
      </c>
      <c r="F68" s="227">
        <f>GETPIVOTDATA("Sum of Old G E-Learning",'Pivot Table for Fact Book'!$A$3,"State","AL","type",3,"Type2","Four-Year")</f>
        <v>25804</v>
      </c>
      <c r="G68" s="228">
        <f>GETPIVOTDATA("Sum of New G E-Learning",'Pivot Table for Fact Book'!$A$3,"State","AL","type",3,"Type2","Four-Year")</f>
        <v>28134</v>
      </c>
      <c r="H68" s="227">
        <f>GETPIVOTDATA("Sum of Old G E-Learning",'Pivot Table for Fact Book'!$A$3,"State","AL","type",4,"Type2","Four-Year")</f>
        <v>9756</v>
      </c>
      <c r="I68" s="228">
        <f>GETPIVOTDATA("Sum of New G E-Learning",'Pivot Table for Fact Book'!$A$3,"State","AL","type",4,"Type2","Four-Year")</f>
        <v>10338</v>
      </c>
      <c r="J68" s="227">
        <f>GETPIVOTDATA("Sum of Old G E-Learning",'Pivot Table for Fact Book'!$A$3,"State","AL","type",5,"Type2","Four-Year")</f>
        <v>36129</v>
      </c>
      <c r="K68" s="228">
        <f>GETPIVOTDATA("Sum of New G E-Learning",'Pivot Table for Fact Book'!$A$3,"State","AL","type",5,"Type2","Four-Year")</f>
        <v>44156</v>
      </c>
      <c r="L68" s="227">
        <f>GETPIVOTDATA("Sum of Old G E-Learning",'Pivot Table for Fact Book'!$A$3,"State","AL","type",6,"Type2","Four-Year")</f>
        <v>0</v>
      </c>
      <c r="M68" s="228">
        <f>GETPIVOTDATA("Sum of New G E-Learning",'Pivot Table for Fact Book'!$A$3,"State","AL","type",6,"Type2","Four-Year")</f>
        <v>0</v>
      </c>
      <c r="N68" s="227">
        <f>GETPIVOTDATA("Sum of Old G E-Learning",'Pivot Table for Fact Book'!$A$3,"State","AL","type",15,"Type2","Four-Year")</f>
        <v>0</v>
      </c>
      <c r="O68" s="228">
        <f>GETPIVOTDATA("Sum of New G E-Learning",'Pivot Table for Fact Book'!$A$3,"State","AL","type",15,"Type2","Four-Year")</f>
        <v>0</v>
      </c>
      <c r="P68" s="229">
        <f>GETPIVOTDATA("Sum of Old G E-Learning",'Pivot Table for Fact Book'!$A$3,"State","AL","Type2","Four-Year")</f>
        <v>94775</v>
      </c>
      <c r="Q68" s="229">
        <f>GETPIVOTDATA("Sum of New G E-Learning",'Pivot Table for Fact Book'!$A$3,"State","AL","Type2","Four-Year")</f>
        <v>112478</v>
      </c>
      <c r="R68" s="227">
        <f>GETPIVOTDATA("Sum of Old G E-Learning",'Pivot Table for Fact Book'!$A$3,"State","AL","type",7,"Type2","Two-Year")</f>
        <v>0</v>
      </c>
      <c r="S68" s="230">
        <f>GETPIVOTDATA("Sum of New G E-Learning",'Pivot Table for Fact Book'!$A$3,"State","AL","type",7,"Type2","Two-Year")</f>
        <v>0</v>
      </c>
      <c r="T68" s="230">
        <f>GETPIVOTDATA("Sum of Old G E-Learning",'Pivot Table for Fact Book'!$A$3,"State","AL","type",8,"Type2","Two-Year")</f>
        <v>0</v>
      </c>
      <c r="U68" s="230">
        <f>GETPIVOTDATA("Sum of New G E-Learning",'Pivot Table for Fact Book'!$A$3,"State","AL","type",8,"Type2","Two-Year")</f>
        <v>0</v>
      </c>
      <c r="V68" s="230">
        <f>GETPIVOTDATA("Sum of Old G E-Learning",'Pivot Table for Fact Book'!$A$3,"State","AL","type",9,"Type2","Two-Year")</f>
        <v>0</v>
      </c>
      <c r="W68" s="230">
        <f>GETPIVOTDATA("Sum of New G E-Learning",'Pivot Table for Fact Book'!$A$3,"State","AL","type",9,"Type2","Two-Year")</f>
        <v>0</v>
      </c>
      <c r="X68" s="230">
        <f>GETPIVOTDATA("Sum of Old G E-Learning",'Pivot Table for Fact Book'!$A$3,"State","AL","type",10,"Type2","Two-Year")</f>
        <v>0</v>
      </c>
      <c r="Y68" s="230">
        <f>GETPIVOTDATA("Sum of New G E-Learning",'Pivot Table for Fact Book'!$A$3,"State","AL","type",10,"Type2","Two-Year")</f>
        <v>0</v>
      </c>
      <c r="Z68" s="231">
        <f>GETPIVOTDATA("Sum of Old G E-Learning",'Pivot Table for Fact Book'!$A$3,"State","AL","Type2","Two-Year")</f>
        <v>0</v>
      </c>
      <c r="AA68" s="231">
        <f>GETPIVOTDATA("Sum of New G E-Learning",'Pivot Table for Fact Book'!$A$3,"State","AL","Type2","Two-Year")</f>
        <v>0</v>
      </c>
      <c r="AB68" s="227">
        <f>GETPIVOTDATA("Sum of Old G E-Learning",'Pivot Table for Fact Book'!$A$3,"State","AL","type",12,"Type2","Technical")</f>
        <v>0</v>
      </c>
      <c r="AC68" s="230">
        <f>GETPIVOTDATA("Sum of New G E-Learning",'Pivot Table for Fact Book'!$A$3,"State","AL","type",12,"Type2","Technical")</f>
        <v>0</v>
      </c>
      <c r="AD68" s="230">
        <f>GETPIVOTDATA("Sum of Old G E-Learning",'Pivot Table for Fact Book'!$A$3,"State","AL","type",13,"Type2","Technical")</f>
        <v>0</v>
      </c>
      <c r="AE68" s="230">
        <f>GETPIVOTDATA("Sum of New G E-Learning",'Pivot Table for Fact Book'!$A$3,"State","AL","type",13,"Type2","Technical")</f>
        <v>0</v>
      </c>
      <c r="AF68" s="233">
        <f>GETPIVOTDATA("Sum of Old G E-Learning",'Pivot Table for Fact Book'!$A$3,"State","AL","Type2","Technical")</f>
        <v>0</v>
      </c>
      <c r="AG68" s="233">
        <f>GETPIVOTDATA("Sum of New G E-Learning",'Pivot Table for Fact Book'!$A$3,"State","AL","Type2","Technical")</f>
        <v>0</v>
      </c>
      <c r="AH68" s="27"/>
    </row>
    <row r="69" spans="1:34">
      <c r="A69" s="226" t="s">
        <v>654</v>
      </c>
      <c r="B69" s="227">
        <f>GETPIVOTDATA("Sum of Old G E-Learning",'Pivot Table for Fact Book'!$A$3,"State","AR","type",1,"Type2","Four-Year")</f>
        <v>12302</v>
      </c>
      <c r="C69" s="228">
        <f>GETPIVOTDATA("Sum of New G E-Learning",'Pivot Table for Fact Book'!$A$3,"State","AR","type",1,"Type2","Four-Year")</f>
        <v>13077</v>
      </c>
      <c r="D69" s="227">
        <f>GETPIVOTDATA("Sum of Old G E-Learning",'Pivot Table for Fact Book'!$A$3,"State","AR","type",2,"Type2","Four-Year")</f>
        <v>0</v>
      </c>
      <c r="E69" s="228">
        <f>GETPIVOTDATA("Sum of New G E-Learning",'Pivot Table for Fact Book'!$A$3,"State","AR","type",2,"Type2","Four-Year")</f>
        <v>0</v>
      </c>
      <c r="F69" s="227">
        <f>GETPIVOTDATA("Sum of Old G E-Learning",'Pivot Table for Fact Book'!$A$3,"State","AR","type",3,"Type2","Four-Year")</f>
        <v>27842</v>
      </c>
      <c r="G69" s="228">
        <f>GETPIVOTDATA("Sum of New G E-Learning",'Pivot Table for Fact Book'!$A$3,"State","AR","type",3,"Type2","Four-Year")</f>
        <v>39821</v>
      </c>
      <c r="H69" s="227">
        <f>GETPIVOTDATA("Sum of Old G E-Learning",'Pivot Table for Fact Book'!$A$3,"State","AR","type",4,"Type2","Four-Year")</f>
        <v>2461</v>
      </c>
      <c r="I69" s="228">
        <f>GETPIVOTDATA("Sum of New G E-Learning",'Pivot Table for Fact Book'!$A$3,"State","AR","type",4,"Type2","Four-Year")</f>
        <v>3191</v>
      </c>
      <c r="J69" s="227">
        <f>GETPIVOTDATA("Sum of Old G E-Learning",'Pivot Table for Fact Book'!$A$3,"State","AR","type",5,"Type2","Four-Year")</f>
        <v>4443</v>
      </c>
      <c r="K69" s="228">
        <f>GETPIVOTDATA("Sum of New G E-Learning",'Pivot Table for Fact Book'!$A$3,"State","AR","type",5,"Type2","Four-Year")</f>
        <v>5424</v>
      </c>
      <c r="L69" s="227">
        <f>GETPIVOTDATA("Sum of Old G E-Learning",'Pivot Table for Fact Book'!$A$3,"State","AR","type",6,"Type2","Four-Year")</f>
        <v>311</v>
      </c>
      <c r="M69" s="228">
        <f>GETPIVOTDATA("Sum of New G E-Learning",'Pivot Table for Fact Book'!$A$3,"State","AR","type",6,"Type2","Four-Year")</f>
        <v>327</v>
      </c>
      <c r="N69" s="227">
        <f>GETPIVOTDATA("Sum of Old G E-Learning",'Pivot Table for Fact Book'!$A$3,"State","AR","type",15,"Type2","Four-Year")</f>
        <v>0</v>
      </c>
      <c r="O69" s="228">
        <f>GETPIVOTDATA("Sum of New G E-Learning",'Pivot Table for Fact Book'!$A$3,"State","AR","type",15,"Type2","Four-Year")</f>
        <v>0</v>
      </c>
      <c r="P69" s="229">
        <f>GETPIVOTDATA("Sum of Old G E-Learning",'Pivot Table for Fact Book'!$A$3,"State","AR","Type2","Four-Year")</f>
        <v>47359</v>
      </c>
      <c r="Q69" s="229">
        <f>GETPIVOTDATA("Sum of New G E-Learning",'Pivot Table for Fact Book'!$A$3,"State","AR","Type2","Four-Year")</f>
        <v>61840</v>
      </c>
      <c r="R69" s="227">
        <f>GETPIVOTDATA("Sum of Old G E-Learning",'Pivot Table for Fact Book'!$A$3,"State","AR","type",7,"Type2","Two-Year")</f>
        <v>0</v>
      </c>
      <c r="S69" s="230">
        <f>GETPIVOTDATA("Sum of New G E-Learning",'Pivot Table for Fact Book'!$A$3,"State","AR","type",7,"Type2","Two-Year")</f>
        <v>0</v>
      </c>
      <c r="T69" s="230">
        <f>GETPIVOTDATA("Sum of Old G E-Learning",'Pivot Table for Fact Book'!$A$3,"State","AR","type",8,"Type2","Two-Year")</f>
        <v>0</v>
      </c>
      <c r="U69" s="230">
        <f>GETPIVOTDATA("Sum of New G E-Learning",'Pivot Table for Fact Book'!$A$3,"State","AR","type",8,"Type2","Two-Year")</f>
        <v>0</v>
      </c>
      <c r="V69" s="230">
        <f>GETPIVOTDATA("Sum of Old G E-Learning",'Pivot Table for Fact Book'!$A$3,"State","AR","type",9,"Type2","Two-Year")</f>
        <v>0</v>
      </c>
      <c r="W69" s="230">
        <f>GETPIVOTDATA("Sum of New G E-Learning",'Pivot Table for Fact Book'!$A$3,"State","AR","type",9,"Type2","Two-Year")</f>
        <v>0</v>
      </c>
      <c r="X69" s="230">
        <f>GETPIVOTDATA("Sum of Old G E-Learning",'Pivot Table for Fact Book'!$A$3,"State","AR","type",10,"Type2","Two-Year")</f>
        <v>0</v>
      </c>
      <c r="Y69" s="230">
        <f>GETPIVOTDATA("Sum of New G E-Learning",'Pivot Table for Fact Book'!$A$3,"State","AR","type",10,"Type2","Two-Year")</f>
        <v>0</v>
      </c>
      <c r="Z69" s="231">
        <f>GETPIVOTDATA("Sum of Old G E-Learning",'Pivot Table for Fact Book'!$A$3,"State","AR","Type2","Two-Year")</f>
        <v>0</v>
      </c>
      <c r="AA69" s="231">
        <f>GETPIVOTDATA("Sum of New G E-Learning",'Pivot Table for Fact Book'!$A$3,"State","AR","Type2","Two-Year")</f>
        <v>0</v>
      </c>
      <c r="AB69" s="227">
        <f>GETPIVOTDATA("Sum of Old G E-Learning",'Pivot Table for Fact Book'!$A$3,"State","AR","type",12,"Type2","Technical")</f>
        <v>0</v>
      </c>
      <c r="AC69" s="230">
        <f>GETPIVOTDATA("Sum of New G E-Learning",'Pivot Table for Fact Book'!$A$3,"State","AR","type",12,"Type2","Technical")</f>
        <v>0</v>
      </c>
      <c r="AD69" s="230">
        <f>GETPIVOTDATA("Sum of Old G E-Learning",'Pivot Table for Fact Book'!$A$3,"State","AR","type",13,"Type2","Technical")</f>
        <v>0</v>
      </c>
      <c r="AE69" s="230">
        <f>GETPIVOTDATA("Sum of New G E-Learning",'Pivot Table for Fact Book'!$A$3,"State","AR","type",13,"Type2","Technical")</f>
        <v>0</v>
      </c>
      <c r="AF69" s="233">
        <f>GETPIVOTDATA("Sum of Old G E-Learning",'Pivot Table for Fact Book'!$A$3,"State","AR","Type2","Technical")</f>
        <v>0</v>
      </c>
      <c r="AG69" s="233">
        <f>GETPIVOTDATA("Sum of New G E-Learning",'Pivot Table for Fact Book'!$A$3,"State","AR","Type2","Technical")</f>
        <v>0</v>
      </c>
      <c r="AH69" s="27"/>
    </row>
    <row r="70" spans="1:34">
      <c r="A70" s="226" t="s">
        <v>655</v>
      </c>
      <c r="B70" s="227">
        <f>GETPIVOTDATA("Sum of Old G E-Learning",'Pivot Table for Fact Book'!$A$3,"State","DE","type",1,"Type2","Four-Year")</f>
        <v>3385</v>
      </c>
      <c r="C70" s="228">
        <f>GETPIVOTDATA("Sum of New G E-Learning",'Pivot Table for Fact Book'!$A$3,"State","DE","type",1,"Type2","Four-Year")</f>
        <v>2988</v>
      </c>
      <c r="D70" s="227">
        <f>GETPIVOTDATA("Sum of Old G E-Learning",'Pivot Table for Fact Book'!$A$3,"State","DE","type",2,"Type2","Four-Year")</f>
        <v>0</v>
      </c>
      <c r="E70" s="228">
        <f>GETPIVOTDATA("Sum of New G E-Learning",'Pivot Table for Fact Book'!$A$3,"State","DE","type",2,"Type2","Four-Year")</f>
        <v>0</v>
      </c>
      <c r="F70" s="227">
        <f>GETPIVOTDATA("Sum of Old G E-Learning",'Pivot Table for Fact Book'!$A$3,"State","DE","type",3,"Type2","Four-Year")</f>
        <v>0</v>
      </c>
      <c r="G70" s="228">
        <f>GETPIVOTDATA("Sum of New G E-Learning",'Pivot Table for Fact Book'!$A$3,"State","DE","type",3,"Type2","Four-Year")</f>
        <v>0</v>
      </c>
      <c r="H70" s="227">
        <f>GETPIVOTDATA("Sum of Old G E-Learning",'Pivot Table for Fact Book'!$A$3,"State","DE","type",4,"Type2","Four-Year")</f>
        <v>150</v>
      </c>
      <c r="I70" s="228">
        <f>GETPIVOTDATA("Sum of New G E-Learning",'Pivot Table for Fact Book'!$A$3,"State","DE","type",4,"Type2","Four-Year")</f>
        <v>75</v>
      </c>
      <c r="J70" s="227">
        <f>GETPIVOTDATA("Sum of Old G E-Learning",'Pivot Table for Fact Book'!$A$3,"State","DE","type",5,"Type2","Four-Year")</f>
        <v>0</v>
      </c>
      <c r="K70" s="228">
        <f>GETPIVOTDATA("Sum of New G E-Learning",'Pivot Table for Fact Book'!$A$3,"State","DE","type",5,"Type2","Four-Year")</f>
        <v>0</v>
      </c>
      <c r="L70" s="227">
        <f>GETPIVOTDATA("Sum of Old G E-Learning",'Pivot Table for Fact Book'!$A$3,"State","DE","type",6,"Type2","Four-Year")</f>
        <v>0</v>
      </c>
      <c r="M70" s="228">
        <f>GETPIVOTDATA("Sum of New G E-Learning",'Pivot Table for Fact Book'!$A$3,"State","DE","type",6,"Type2","Four-Year")</f>
        <v>0</v>
      </c>
      <c r="N70" s="227">
        <f>GETPIVOTDATA("Sum of Old G E-Learning",'Pivot Table for Fact Book'!$A$3,"State","DE","type",15,"Type2","Four-Year")</f>
        <v>0</v>
      </c>
      <c r="O70" s="228">
        <f>GETPIVOTDATA("Sum of New G E-Learning",'Pivot Table for Fact Book'!$A$3,"State","DE","type",15,"Type2","Four-Year")</f>
        <v>0</v>
      </c>
      <c r="P70" s="229">
        <f>GETPIVOTDATA("Sum of Old G E-Learning",'Pivot Table for Fact Book'!$A$3,"State","DE","Type2","Four-Year")</f>
        <v>3535</v>
      </c>
      <c r="Q70" s="229">
        <f>GETPIVOTDATA("Sum of New G E-Learning",'Pivot Table for Fact Book'!$A$3,"State","DE","Type2","Four-Year")</f>
        <v>3063</v>
      </c>
      <c r="R70" s="227">
        <f>GETPIVOTDATA("Sum of Old G E-Learning",'Pivot Table for Fact Book'!$A$3,"State","DE","type",7,"Type2","Two-Year")</f>
        <v>0</v>
      </c>
      <c r="S70" s="230">
        <f>GETPIVOTDATA("Sum of New G E-Learning",'Pivot Table for Fact Book'!$A$3,"State","DE","type",7,"Type2","Two-Year")</f>
        <v>0</v>
      </c>
      <c r="T70" s="230">
        <f>GETPIVOTDATA("Sum of Old G E-Learning",'Pivot Table for Fact Book'!$A$3,"State","DE","type",8,"Type2","Two-Year")</f>
        <v>0</v>
      </c>
      <c r="U70" s="230">
        <f>GETPIVOTDATA("Sum of New G E-Learning",'Pivot Table for Fact Book'!$A$3,"State","DE","type",8,"Type2","Two-Year")</f>
        <v>0</v>
      </c>
      <c r="V70" s="230">
        <f>GETPIVOTDATA("Sum of Old G E-Learning",'Pivot Table for Fact Book'!$A$3,"State","DE","type",9,"Type2","Two-Year")</f>
        <v>0</v>
      </c>
      <c r="W70" s="230">
        <f>GETPIVOTDATA("Sum of New G E-Learning",'Pivot Table for Fact Book'!$A$3,"State","DE","type",9,"Type2","Two-Year")</f>
        <v>0</v>
      </c>
      <c r="X70" s="230">
        <f>GETPIVOTDATA("Sum of Old G E-Learning",'Pivot Table for Fact Book'!$A$3,"State","DE","type",10,"Type2","Two-Year")</f>
        <v>0</v>
      </c>
      <c r="Y70" s="230">
        <f>GETPIVOTDATA("Sum of New G E-Learning",'Pivot Table for Fact Book'!$A$3,"State","DE","type",10,"Type2","Two-Year")</f>
        <v>0</v>
      </c>
      <c r="Z70" s="231">
        <f>GETPIVOTDATA("Sum of Old G E-Learning",'Pivot Table for Fact Book'!$A$3,"State","DE","Type2","Two-Year")</f>
        <v>0</v>
      </c>
      <c r="AA70" s="231">
        <f>GETPIVOTDATA("Sum of New G E-Learning",'Pivot Table for Fact Book'!$A$3,"State","DE","Type2","Two-Year")</f>
        <v>0</v>
      </c>
      <c r="AB70" s="227">
        <f>GETPIVOTDATA("Sum of Old G E-Learning",'Pivot Table for Fact Book'!$A$3,"State","DE","type",12,"Type2","Technical")</f>
        <v>0</v>
      </c>
      <c r="AC70" s="230">
        <f>GETPIVOTDATA("Sum of New G E-Learning",'Pivot Table for Fact Book'!$A$3,"State","DE","type",12,"Type2","Technical")</f>
        <v>0</v>
      </c>
      <c r="AD70" s="230">
        <f>GETPIVOTDATA("Sum of Old G E-Learning",'Pivot Table for Fact Book'!$A$3,"State","DE","type",13,"Type2","Technical")</f>
        <v>0</v>
      </c>
      <c r="AE70" s="230">
        <f>GETPIVOTDATA("Sum of New G E-Learning",'Pivot Table for Fact Book'!$A$3,"State","DE","type",13,"Type2","Technical")</f>
        <v>0</v>
      </c>
      <c r="AF70" s="233">
        <f>GETPIVOTDATA("Sum of Old G E-Learning",'Pivot Table for Fact Book'!$A$3,"State","DE","Type2","Technical")</f>
        <v>0</v>
      </c>
      <c r="AG70" s="233">
        <f>GETPIVOTDATA("Sum of New G E-Learning",'Pivot Table for Fact Book'!$A$3,"State","DE","Type2","Technical")</f>
        <v>0</v>
      </c>
      <c r="AH70" s="27"/>
    </row>
    <row r="71" spans="1:34">
      <c r="A71" s="226" t="s">
        <v>656</v>
      </c>
      <c r="B71" s="227">
        <f>GETPIVOTDATA("Sum of Old G E-Learning",'Pivot Table for Fact Book'!$A$3,"State","FL","type",1,"Type2","Four-Year")</f>
        <v>172488.2</v>
      </c>
      <c r="C71" s="228">
        <f>GETPIVOTDATA("Sum of New G E-Learning",'Pivot Table for Fact Book'!$A$3,"State","FL","type",1,"Type2","Four-Year")</f>
        <v>189534</v>
      </c>
      <c r="D71" s="227">
        <f>GETPIVOTDATA("Sum of Old G E-Learning",'Pivot Table for Fact Book'!$A$3,"State","FL","type",2,"Type2","Four-Year")</f>
        <v>17629</v>
      </c>
      <c r="E71" s="228">
        <f>GETPIVOTDATA("Sum of New G E-Learning",'Pivot Table for Fact Book'!$A$3,"State","FL","type",2,"Type2","Four-Year")</f>
        <v>19924</v>
      </c>
      <c r="F71" s="227">
        <f>GETPIVOTDATA("Sum of Old G E-Learning",'Pivot Table for Fact Book'!$A$3,"State","FL","type",3,"Type2","Four-Year")</f>
        <v>17204.5</v>
      </c>
      <c r="G71" s="228">
        <f>GETPIVOTDATA("Sum of New G E-Learning",'Pivot Table for Fact Book'!$A$3,"State","FL","type",3,"Type2","Four-Year")</f>
        <v>21931</v>
      </c>
      <c r="H71" s="227">
        <f>GETPIVOTDATA("Sum of Old G E-Learning",'Pivot Table for Fact Book'!$A$3,"State","FL","type",4,"Type2","Four-Year")</f>
        <v>7961</v>
      </c>
      <c r="I71" s="228">
        <f>GETPIVOTDATA("Sum of New G E-Learning",'Pivot Table for Fact Book'!$A$3,"State","FL","type",4,"Type2","Four-Year")</f>
        <v>8647</v>
      </c>
      <c r="J71" s="227">
        <f>GETPIVOTDATA("Sum of Old G E-Learning",'Pivot Table for Fact Book'!$A$3,"State","FL","type",5,"Type2","Four-Year")</f>
        <v>0</v>
      </c>
      <c r="K71" s="228">
        <f>GETPIVOTDATA("Sum of New G E-Learning",'Pivot Table for Fact Book'!$A$3,"State","FL","type",5,"Type2","Four-Year")</f>
        <v>0</v>
      </c>
      <c r="L71" s="227">
        <f>GETPIVOTDATA("Sum of Old G E-Learning",'Pivot Table for Fact Book'!$A$3,"State","FL","type",6,"Type2","Four-Year")</f>
        <v>0</v>
      </c>
      <c r="M71" s="228">
        <f>GETPIVOTDATA("Sum of New G E-Learning",'Pivot Table for Fact Book'!$A$3,"State","FL","type",6,"Type2","Four-Year")</f>
        <v>0</v>
      </c>
      <c r="N71" s="227">
        <f>GETPIVOTDATA("Sum of Old G E-Learning",'Pivot Table for Fact Book'!$A$3,"State","FL","type",15,"Type2","Four-Year")</f>
        <v>0</v>
      </c>
      <c r="O71" s="228">
        <f>GETPIVOTDATA("Sum of New G E-Learning",'Pivot Table for Fact Book'!$A$3,"State","FL","type",15,"Type2","Four-Year")</f>
        <v>0</v>
      </c>
      <c r="P71" s="229">
        <f>GETPIVOTDATA("Sum of Old G E-Learning",'Pivot Table for Fact Book'!$A$3,"State","FL","Type2","Four-Year")</f>
        <v>215282.7</v>
      </c>
      <c r="Q71" s="229">
        <f>GETPIVOTDATA("Sum of New G E-Learning",'Pivot Table for Fact Book'!$A$3,"State","FL","Type2","Four-Year")</f>
        <v>240036</v>
      </c>
      <c r="R71" s="227">
        <f>GETPIVOTDATA("Sum of Old G E-Learning",'Pivot Table for Fact Book'!$A$3,"State","FL","type",7,"Type2","Two-Year")</f>
        <v>0</v>
      </c>
      <c r="S71" s="230">
        <f>GETPIVOTDATA("Sum of New G E-Learning",'Pivot Table for Fact Book'!$A$3,"State","FL","type",7,"Type2","Two-Year")</f>
        <v>0</v>
      </c>
      <c r="T71" s="230">
        <f>GETPIVOTDATA("Sum of Old G E-Learning",'Pivot Table for Fact Book'!$A$3,"State","FL","type",8,"Type2","Two-Year")</f>
        <v>0</v>
      </c>
      <c r="U71" s="230">
        <f>GETPIVOTDATA("Sum of New G E-Learning",'Pivot Table for Fact Book'!$A$3,"State","FL","type",8,"Type2","Two-Year")</f>
        <v>0</v>
      </c>
      <c r="V71" s="230">
        <f>GETPIVOTDATA("Sum of Old G E-Learning",'Pivot Table for Fact Book'!$A$3,"State","FL","type",9,"Type2","Two-Year")</f>
        <v>0</v>
      </c>
      <c r="W71" s="230">
        <f>GETPIVOTDATA("Sum of New G E-Learning",'Pivot Table for Fact Book'!$A$3,"State","FL","type",9,"Type2","Two-Year")</f>
        <v>0</v>
      </c>
      <c r="X71" s="230">
        <f>GETPIVOTDATA("Sum of Old G E-Learning",'Pivot Table for Fact Book'!$A$3,"State","FL","type",10,"Type2","Two-Year")</f>
        <v>0</v>
      </c>
      <c r="Y71" s="230">
        <f>GETPIVOTDATA("Sum of New G E-Learning",'Pivot Table for Fact Book'!$A$3,"State","FL","type",10,"Type2","Two-Year")</f>
        <v>0</v>
      </c>
      <c r="Z71" s="231">
        <f>GETPIVOTDATA("Sum of Old G E-Learning",'Pivot Table for Fact Book'!$A$3,"State","FL","Type2","Two-Year")</f>
        <v>0</v>
      </c>
      <c r="AA71" s="231">
        <f>GETPIVOTDATA("Sum of New G E-Learning",'Pivot Table for Fact Book'!$A$3,"State","FL","Type2","Two-Year")</f>
        <v>0</v>
      </c>
      <c r="AB71" s="227">
        <f>GETPIVOTDATA("Sum of Old G E-Learning",'Pivot Table for Fact Book'!$A$3,"State","FL","type",12,"Type2","Technical")</f>
        <v>0</v>
      </c>
      <c r="AC71" s="230">
        <f>GETPIVOTDATA("Sum of New G E-Learning",'Pivot Table for Fact Book'!$A$3,"State","FL","type",12,"Type2","Technical")</f>
        <v>0</v>
      </c>
      <c r="AD71" s="230">
        <f>GETPIVOTDATA("Sum of Old G E-Learning",'Pivot Table for Fact Book'!$A$3,"State","FL","type",13,"Type2","Technical")</f>
        <v>0</v>
      </c>
      <c r="AE71" s="230">
        <f>GETPIVOTDATA("Sum of New G E-Learning",'Pivot Table for Fact Book'!$A$3,"State","FL","type",13,"Type2","Technical")</f>
        <v>0</v>
      </c>
      <c r="AF71" s="233">
        <f>GETPIVOTDATA("Sum of Old G E-Learning",'Pivot Table for Fact Book'!$A$3,"State","FL","Type2","Technical")</f>
        <v>0</v>
      </c>
      <c r="AG71" s="233">
        <f>GETPIVOTDATA("Sum of New G E-Learning",'Pivot Table for Fact Book'!$A$3,"State","FL","Type2","Technical")</f>
        <v>0</v>
      </c>
      <c r="AH71" s="27"/>
    </row>
    <row r="72" spans="1:34">
      <c r="A72" s="226" t="s">
        <v>657</v>
      </c>
      <c r="B72" s="227">
        <f>GETPIVOTDATA("Sum of Old G E-Learning",'Pivot Table for Fact Book'!$A$3,"State","GA","type",1,"Type2","Four-Year")</f>
        <v>0</v>
      </c>
      <c r="C72" s="228">
        <f>GETPIVOTDATA("Sum of New G E-Learning",'Pivot Table for Fact Book'!$A$3,"State","GA","type",1,"Type2","Four-Year")</f>
        <v>0</v>
      </c>
      <c r="D72" s="227">
        <f>GETPIVOTDATA("Sum of Old G E-Learning",'Pivot Table for Fact Book'!$A$3,"State","GA","type",2,"Type2","Four-Year")</f>
        <v>0</v>
      </c>
      <c r="E72" s="228">
        <f>GETPIVOTDATA("Sum of New G E-Learning",'Pivot Table for Fact Book'!$A$3,"State","GA","type",2,"Type2","Four-Year")</f>
        <v>0</v>
      </c>
      <c r="F72" s="227">
        <f>GETPIVOTDATA("Sum of Old G E-Learning",'Pivot Table for Fact Book'!$A$3,"State","GA","type",3,"Type2","Four-Year")</f>
        <v>0</v>
      </c>
      <c r="G72" s="228">
        <f>GETPIVOTDATA("Sum of New G E-Learning",'Pivot Table for Fact Book'!$A$3,"State","GA","type",3,"Type2","Four-Year")</f>
        <v>0</v>
      </c>
      <c r="H72" s="227">
        <f>GETPIVOTDATA("Sum of Old G E-Learning",'Pivot Table for Fact Book'!$A$3,"State","GA","type",4,"Type2","Four-Year")</f>
        <v>0</v>
      </c>
      <c r="I72" s="228">
        <f>GETPIVOTDATA("Sum of New G E-Learning",'Pivot Table for Fact Book'!$A$3,"State","GA","type",4,"Type2","Four-Year")</f>
        <v>0</v>
      </c>
      <c r="J72" s="227">
        <f>GETPIVOTDATA("Sum of Old G E-Learning",'Pivot Table for Fact Book'!$A$3,"State","GA","type",5,"Type2","Four-Year")</f>
        <v>0</v>
      </c>
      <c r="K72" s="228">
        <f>GETPIVOTDATA("Sum of New G E-Learning",'Pivot Table for Fact Book'!$A$3,"State","GA","type",5,"Type2","Four-Year")</f>
        <v>0</v>
      </c>
      <c r="L72" s="227">
        <f>GETPIVOTDATA("Sum of Old G E-Learning",'Pivot Table for Fact Book'!$A$3,"State","GA","type",6,"Type2","Four-Year")</f>
        <v>0</v>
      </c>
      <c r="M72" s="228">
        <f>GETPIVOTDATA("Sum of New G E-Learning",'Pivot Table for Fact Book'!$A$3,"State","GA","type",6,"Type2","Four-Year")</f>
        <v>0</v>
      </c>
      <c r="N72" s="227">
        <f>GETPIVOTDATA("Sum of Old G E-Learning",'Pivot Table for Fact Book'!$A$3,"State","GA","type",15,"Type2","Four-Year")</f>
        <v>0</v>
      </c>
      <c r="O72" s="228">
        <f>GETPIVOTDATA("Sum of New G E-Learning",'Pivot Table for Fact Book'!$A$3,"State","GA","type",15,"Type2","Four-Year")</f>
        <v>0</v>
      </c>
      <c r="P72" s="229">
        <f>GETPIVOTDATA("Sum of Old G E-Learning",'Pivot Table for Fact Book'!$A$3,"State","GA","Type2","Four-Year")</f>
        <v>0</v>
      </c>
      <c r="Q72" s="229">
        <f>GETPIVOTDATA("Sum of New G E-Learning",'Pivot Table for Fact Book'!$A$3,"State","GA","Type2","Four-Year")</f>
        <v>0</v>
      </c>
      <c r="R72" s="227">
        <f>GETPIVOTDATA("Sum of Old G E-Learning",'Pivot Table for Fact Book'!$A$3,"State","GA","type",7,"Type2","Two-Year")</f>
        <v>0</v>
      </c>
      <c r="S72" s="230">
        <f>GETPIVOTDATA("Sum of New G E-Learning",'Pivot Table for Fact Book'!$A$3,"State","GA","type",7,"Type2","Two-Year")</f>
        <v>0</v>
      </c>
      <c r="T72" s="230">
        <f>GETPIVOTDATA("Sum of Old G E-Learning",'Pivot Table for Fact Book'!$A$3,"State","GA","type",8,"Type2","Two-Year")</f>
        <v>0</v>
      </c>
      <c r="U72" s="230">
        <f>GETPIVOTDATA("Sum of New G E-Learning",'Pivot Table for Fact Book'!$A$3,"State","GA","type",8,"Type2","Two-Year")</f>
        <v>0</v>
      </c>
      <c r="V72" s="230">
        <f>GETPIVOTDATA("Sum of Old G E-Learning",'Pivot Table for Fact Book'!$A$3,"State","GA","type",9,"Type2","Two-Year")</f>
        <v>0</v>
      </c>
      <c r="W72" s="230">
        <f>GETPIVOTDATA("Sum of New G E-Learning",'Pivot Table for Fact Book'!$A$3,"State","GA","type",9,"Type2","Two-Year")</f>
        <v>0</v>
      </c>
      <c r="X72" s="230">
        <f>GETPIVOTDATA("Sum of Old G E-Learning",'Pivot Table for Fact Book'!$A$3,"State","GA","type",10,"Type2","Two-Year")</f>
        <v>0</v>
      </c>
      <c r="Y72" s="230">
        <f>GETPIVOTDATA("Sum of New G E-Learning",'Pivot Table for Fact Book'!$A$3,"State","GA","type",10,"Type2","Two-Year")</f>
        <v>0</v>
      </c>
      <c r="Z72" s="231">
        <f>GETPIVOTDATA("Sum of Old G E-Learning",'Pivot Table for Fact Book'!$A$3,"State","GA","Type2","Two-Year")</f>
        <v>0</v>
      </c>
      <c r="AA72" s="231">
        <f>GETPIVOTDATA("Sum of New G E-Learning",'Pivot Table for Fact Book'!$A$3,"State","GA","Type2","Two-Year")</f>
        <v>0</v>
      </c>
      <c r="AB72" s="227">
        <f>GETPIVOTDATA("Sum of Old G E-Learning",'Pivot Table for Fact Book'!$A$3,"State","GA","type",12,"Type2","Technical")</f>
        <v>0</v>
      </c>
      <c r="AC72" s="230">
        <f>GETPIVOTDATA("Sum of New G E-Learning",'Pivot Table for Fact Book'!$A$3,"State","GA","type",12,"Type2","Technical")</f>
        <v>0</v>
      </c>
      <c r="AD72" s="230">
        <f>GETPIVOTDATA("Sum of Old G E-Learning",'Pivot Table for Fact Book'!$A$3,"State","GA","type",13,"Type2","Technical")</f>
        <v>0</v>
      </c>
      <c r="AE72" s="230">
        <f>GETPIVOTDATA("Sum of New G E-Learning",'Pivot Table for Fact Book'!$A$3,"State","GA","type",13,"Type2","Technical")</f>
        <v>0</v>
      </c>
      <c r="AF72" s="233">
        <f>GETPIVOTDATA("Sum of Old G E-Learning",'Pivot Table for Fact Book'!$A$3,"State","GA","Type2","Technical")</f>
        <v>0</v>
      </c>
      <c r="AG72" s="233">
        <f>GETPIVOTDATA("Sum of New G E-Learning",'Pivot Table for Fact Book'!$A$3,"State","GA","Type2","Technical")</f>
        <v>0</v>
      </c>
      <c r="AH72" s="27"/>
    </row>
    <row r="73" spans="1:34">
      <c r="A73" s="226" t="s">
        <v>658</v>
      </c>
      <c r="B73" s="227">
        <f>GETPIVOTDATA("Sum of Old G E-Learning",'Pivot Table for Fact Book'!$A$3,"State","KY","type",1,"Type2","Four-Year")</f>
        <v>12238</v>
      </c>
      <c r="C73" s="228">
        <f>GETPIVOTDATA("Sum of New G E-Learning",'Pivot Table for Fact Book'!$A$3,"State","KY","type",1,"Type2","Four-Year")</f>
        <v>8328</v>
      </c>
      <c r="D73" s="227">
        <f>GETPIVOTDATA("Sum of Old G E-Learning",'Pivot Table for Fact Book'!$A$3,"State","KY","type",2,"Type2","Four-Year")</f>
        <v>0</v>
      </c>
      <c r="E73" s="228">
        <f>GETPIVOTDATA("Sum of New G E-Learning",'Pivot Table for Fact Book'!$A$3,"State","KY","type",2,"Type2","Four-Year")</f>
        <v>0</v>
      </c>
      <c r="F73" s="227">
        <f>GETPIVOTDATA("Sum of Old G E-Learning",'Pivot Table for Fact Book'!$A$3,"State","KY","type",3,"Type2","Four-Year")</f>
        <v>38666</v>
      </c>
      <c r="G73" s="228">
        <f>GETPIVOTDATA("Sum of New G E-Learning",'Pivot Table for Fact Book'!$A$3,"State","KY","type",3,"Type2","Four-Year")</f>
        <v>37449</v>
      </c>
      <c r="H73" s="227">
        <f>GETPIVOTDATA("Sum of Old G E-Learning",'Pivot Table for Fact Book'!$A$3,"State","KY","type",4,"Type2","Four-Year")</f>
        <v>20762</v>
      </c>
      <c r="I73" s="228">
        <f>GETPIVOTDATA("Sum of New G E-Learning",'Pivot Table for Fact Book'!$A$3,"State","KY","type",4,"Type2","Four-Year")</f>
        <v>19788</v>
      </c>
      <c r="J73" s="227">
        <f>GETPIVOTDATA("Sum of Old G E-Learning",'Pivot Table for Fact Book'!$A$3,"State","KY","type",5,"Type2","Four-Year")</f>
        <v>1398</v>
      </c>
      <c r="K73" s="228">
        <f>GETPIVOTDATA("Sum of New G E-Learning",'Pivot Table for Fact Book'!$A$3,"State","KY","type",5,"Type2","Four-Year")</f>
        <v>1293</v>
      </c>
      <c r="L73" s="227">
        <f>GETPIVOTDATA("Sum of Old G E-Learning",'Pivot Table for Fact Book'!$A$3,"State","KY","type",6,"Type2","Four-Year")</f>
        <v>0</v>
      </c>
      <c r="M73" s="228">
        <f>GETPIVOTDATA("Sum of New G E-Learning",'Pivot Table for Fact Book'!$A$3,"State","KY","type",6,"Type2","Four-Year")</f>
        <v>0</v>
      </c>
      <c r="N73" s="227">
        <f>GETPIVOTDATA("Sum of Old G E-Learning",'Pivot Table for Fact Book'!$A$3,"State","KY","type",15,"Type2","Four-Year")</f>
        <v>0</v>
      </c>
      <c r="O73" s="228">
        <f>GETPIVOTDATA("Sum of New G E-Learning",'Pivot Table for Fact Book'!$A$3,"State","KY","type",15,"Type2","Four-Year")</f>
        <v>0</v>
      </c>
      <c r="P73" s="229">
        <f>GETPIVOTDATA("Sum of Old G E-Learning",'Pivot Table for Fact Book'!$A$3,"State","KY","Type2","Four-Year")</f>
        <v>73064</v>
      </c>
      <c r="Q73" s="229">
        <f>GETPIVOTDATA("Sum of New G E-Learning",'Pivot Table for Fact Book'!$A$3,"State","KY","Type2","Four-Year")</f>
        <v>66858</v>
      </c>
      <c r="R73" s="227">
        <f>GETPIVOTDATA("Sum of Old G E-Learning",'Pivot Table for Fact Book'!$A$3,"State","KY","type",7,"Type2","Two-Year")</f>
        <v>0</v>
      </c>
      <c r="S73" s="230">
        <f>GETPIVOTDATA("Sum of New G E-Learning",'Pivot Table for Fact Book'!$A$3,"State","KY","type",7,"Type2","Two-Year")</f>
        <v>0</v>
      </c>
      <c r="T73" s="230">
        <f>GETPIVOTDATA("Sum of Old G E-Learning",'Pivot Table for Fact Book'!$A$3,"State","KY","type",8,"Type2","Two-Year")</f>
        <v>0</v>
      </c>
      <c r="U73" s="230">
        <f>GETPIVOTDATA("Sum of New G E-Learning",'Pivot Table for Fact Book'!$A$3,"State","KY","type",8,"Type2","Two-Year")</f>
        <v>0</v>
      </c>
      <c r="V73" s="230">
        <f>GETPIVOTDATA("Sum of Old G E-Learning",'Pivot Table for Fact Book'!$A$3,"State","KY","type",9,"Type2","Two-Year")</f>
        <v>0</v>
      </c>
      <c r="W73" s="230">
        <f>GETPIVOTDATA("Sum of New G E-Learning",'Pivot Table for Fact Book'!$A$3,"State","KY","type",9,"Type2","Two-Year")</f>
        <v>0</v>
      </c>
      <c r="X73" s="230">
        <f>GETPIVOTDATA("Sum of Old G E-Learning",'Pivot Table for Fact Book'!$A$3,"State","KY","type",10,"Type2","Two-Year")</f>
        <v>0</v>
      </c>
      <c r="Y73" s="230">
        <f>GETPIVOTDATA("Sum of New G E-Learning",'Pivot Table for Fact Book'!$A$3,"State","KY","type",10,"Type2","Two-Year")</f>
        <v>0</v>
      </c>
      <c r="Z73" s="231">
        <f>GETPIVOTDATA("Sum of Old G E-Learning",'Pivot Table for Fact Book'!$A$3,"State","KY","Type2","Two-Year")</f>
        <v>0</v>
      </c>
      <c r="AA73" s="231">
        <f>GETPIVOTDATA("Sum of New G E-Learning",'Pivot Table for Fact Book'!$A$3,"State","KY","Type2","Two-Year")</f>
        <v>0</v>
      </c>
      <c r="AB73" s="227">
        <f>GETPIVOTDATA("Sum of Old G E-Learning",'Pivot Table for Fact Book'!$A$3,"State","KY","type",12,"Type2","Technical")</f>
        <v>0</v>
      </c>
      <c r="AC73" s="230">
        <f>GETPIVOTDATA("Sum of New G E-Learning",'Pivot Table for Fact Book'!$A$3,"State","KY","type",12,"Type2","Technical")</f>
        <v>0</v>
      </c>
      <c r="AD73" s="230">
        <f>GETPIVOTDATA("Sum of Old G E-Learning",'Pivot Table for Fact Book'!$A$3,"State","KY","type",13,"Type2","Technical")</f>
        <v>0</v>
      </c>
      <c r="AE73" s="230">
        <f>GETPIVOTDATA("Sum of New G E-Learning",'Pivot Table for Fact Book'!$A$3,"State","KY","type",13,"Type2","Technical")</f>
        <v>0</v>
      </c>
      <c r="AF73" s="233">
        <f>GETPIVOTDATA("Sum of Old G E-Learning",'Pivot Table for Fact Book'!$A$3,"State","KY","Type2","Technical")</f>
        <v>0</v>
      </c>
      <c r="AG73" s="233">
        <f>GETPIVOTDATA("Sum of New G E-Learning",'Pivot Table for Fact Book'!$A$3,"State","KY","Type2","Technical")</f>
        <v>0</v>
      </c>
      <c r="AH73" s="27"/>
    </row>
    <row r="74" spans="1:34">
      <c r="A74" s="226" t="s">
        <v>659</v>
      </c>
      <c r="B74" s="227">
        <f>GETPIVOTDATA("Sum of Old G E-Learning",'Pivot Table for Fact Book'!$A$3,"State","LA","type",1,"Type2","Four-Year")</f>
        <v>0</v>
      </c>
      <c r="C74" s="228">
        <f>GETPIVOTDATA("Sum of New G E-Learning",'Pivot Table for Fact Book'!$A$3,"State","LA","type",1,"Type2","Four-Year")</f>
        <v>0</v>
      </c>
      <c r="D74" s="227">
        <f>GETPIVOTDATA("Sum of Old G E-Learning",'Pivot Table for Fact Book'!$A$3,"State","LA","type",2,"Type2","Four-Year")</f>
        <v>0</v>
      </c>
      <c r="E74" s="228">
        <f>GETPIVOTDATA("Sum of New G E-Learning",'Pivot Table for Fact Book'!$A$3,"State","LA","type",2,"Type2","Four-Year")</f>
        <v>0</v>
      </c>
      <c r="F74" s="227">
        <f>GETPIVOTDATA("Sum of Old G E-Learning",'Pivot Table for Fact Book'!$A$3,"State","LA","type",3,"Type2","Four-Year")</f>
        <v>0</v>
      </c>
      <c r="G74" s="228">
        <f>GETPIVOTDATA("Sum of New G E-Learning",'Pivot Table for Fact Book'!$A$3,"State","LA","type",3,"Type2","Four-Year")</f>
        <v>0</v>
      </c>
      <c r="H74" s="227">
        <f>GETPIVOTDATA("Sum of Old G E-Learning",'Pivot Table for Fact Book'!$A$3,"State","LA","type",4,"Type2","Four-Year")</f>
        <v>0</v>
      </c>
      <c r="I74" s="228">
        <f>GETPIVOTDATA("Sum of New G E-Learning",'Pivot Table for Fact Book'!$A$3,"State","LA","type",4,"Type2","Four-Year")</f>
        <v>0</v>
      </c>
      <c r="J74" s="227">
        <f>GETPIVOTDATA("Sum of Old G E-Learning",'Pivot Table for Fact Book'!$A$3,"State","LA","type",5,"Type2","Four-Year")</f>
        <v>0</v>
      </c>
      <c r="K74" s="228">
        <f>GETPIVOTDATA("Sum of New G E-Learning",'Pivot Table for Fact Book'!$A$3,"State","LA","type",5,"Type2","Four-Year")</f>
        <v>0</v>
      </c>
      <c r="L74" s="227">
        <f>GETPIVOTDATA("Sum of Old G E-Learning",'Pivot Table for Fact Book'!$A$3,"State","LA","type",6,"Type2","Four-Year")</f>
        <v>0</v>
      </c>
      <c r="M74" s="228">
        <f>GETPIVOTDATA("Sum of New G E-Learning",'Pivot Table for Fact Book'!$A$3,"State","LA","type",6,"Type2","Four-Year")</f>
        <v>0</v>
      </c>
      <c r="N74" s="227">
        <f>GETPIVOTDATA("Sum of Old G E-Learning",'Pivot Table for Fact Book'!$A$3,"State","LA","type",15,"Type2","Four-Year")</f>
        <v>0</v>
      </c>
      <c r="O74" s="228">
        <f>GETPIVOTDATA("Sum of New G E-Learning",'Pivot Table for Fact Book'!$A$3,"State","LA","type",15,"Type2","Four-Year")</f>
        <v>0</v>
      </c>
      <c r="P74" s="229">
        <f>GETPIVOTDATA("Sum of Old G E-Learning",'Pivot Table for Fact Book'!$A$3,"State","LA","Type2","Four-Year")</f>
        <v>0</v>
      </c>
      <c r="Q74" s="229">
        <f>GETPIVOTDATA("Sum of New G E-Learning",'Pivot Table for Fact Book'!$A$3,"State","LA","Type2","Four-Year")</f>
        <v>0</v>
      </c>
      <c r="R74" s="227">
        <f>GETPIVOTDATA("Sum of Old G E-Learning",'Pivot Table for Fact Book'!$A$3,"State","LA","type",7,"Type2","Two-Year")</f>
        <v>0</v>
      </c>
      <c r="S74" s="230">
        <f>GETPIVOTDATA("Sum of New G E-Learning",'Pivot Table for Fact Book'!$A$3,"State","LA","type",7,"Type2","Two-Year")</f>
        <v>0</v>
      </c>
      <c r="T74" s="230">
        <f>GETPIVOTDATA("Sum of Old G E-Learning",'Pivot Table for Fact Book'!$A$3,"State","LA","type",8,"Type2","Two-Year")</f>
        <v>0</v>
      </c>
      <c r="U74" s="230">
        <f>GETPIVOTDATA("Sum of New G E-Learning",'Pivot Table for Fact Book'!$A$3,"State","LA","type",8,"Type2","Two-Year")</f>
        <v>0</v>
      </c>
      <c r="V74" s="230">
        <f>GETPIVOTDATA("Sum of Old G E-Learning",'Pivot Table for Fact Book'!$A$3,"State","LA","type",9,"Type2","Two-Year")</f>
        <v>0</v>
      </c>
      <c r="W74" s="230">
        <f>GETPIVOTDATA("Sum of New G E-Learning",'Pivot Table for Fact Book'!$A$3,"State","LA","type",9,"Type2","Two-Year")</f>
        <v>0</v>
      </c>
      <c r="X74" s="230">
        <f>GETPIVOTDATA("Sum of Old G E-Learning",'Pivot Table for Fact Book'!$A$3,"State","LA","type",10,"Type2","Two-Year")</f>
        <v>0</v>
      </c>
      <c r="Y74" s="230">
        <f>GETPIVOTDATA("Sum of New G E-Learning",'Pivot Table for Fact Book'!$A$3,"State","LA","type",10,"Type2","Two-Year")</f>
        <v>0</v>
      </c>
      <c r="Z74" s="231">
        <f>GETPIVOTDATA("Sum of Old G E-Learning",'Pivot Table for Fact Book'!$A$3,"State","LA","Type2","Two-Year")</f>
        <v>0</v>
      </c>
      <c r="AA74" s="231">
        <f>GETPIVOTDATA("Sum of New G E-Learning",'Pivot Table for Fact Book'!$A$3,"State","LA","Type2","Two-Year")</f>
        <v>0</v>
      </c>
      <c r="AB74" s="227">
        <f>GETPIVOTDATA("Sum of Old G E-Learning",'Pivot Table for Fact Book'!$A$3,"State","LA","type",12,"Type2","Technical")</f>
        <v>0</v>
      </c>
      <c r="AC74" s="230">
        <f>GETPIVOTDATA("Sum of New G E-Learning",'Pivot Table for Fact Book'!$A$3,"State","LA","type",12,"Type2","Technical")</f>
        <v>0</v>
      </c>
      <c r="AD74" s="230">
        <f>GETPIVOTDATA("Sum of Old G E-Learning",'Pivot Table for Fact Book'!$A$3,"State","LA","type",13,"Type2","Technical")</f>
        <v>0</v>
      </c>
      <c r="AE74" s="230">
        <f>GETPIVOTDATA("Sum of New G E-Learning",'Pivot Table for Fact Book'!$A$3,"State","LA","type",13,"Type2","Technical")</f>
        <v>0</v>
      </c>
      <c r="AF74" s="233">
        <f>GETPIVOTDATA("Sum of Old G E-Learning",'Pivot Table for Fact Book'!$A$3,"State","LA","Type2","Technical")</f>
        <v>0</v>
      </c>
      <c r="AG74" s="233">
        <f>GETPIVOTDATA("Sum of New G E-Learning",'Pivot Table for Fact Book'!$A$3,"State","LA","Type2","Technical")</f>
        <v>0</v>
      </c>
      <c r="AH74" s="27"/>
    </row>
    <row r="75" spans="1:34">
      <c r="A75" s="226" t="s">
        <v>700</v>
      </c>
      <c r="B75" s="227">
        <f>GETPIVOTDATA("Sum of Old G E-Learning",'Pivot Table for Fact Book'!$A$3,"State","MD","type",1,"Type2","Four-Year")</f>
        <v>3829</v>
      </c>
      <c r="C75" s="228">
        <f>GETPIVOTDATA("Sum of New G E-Learning",'Pivot Table for Fact Book'!$A$3,"State","MD","type",1,"Type2","Four-Year")</f>
        <v>5827</v>
      </c>
      <c r="D75" s="227">
        <f>GETPIVOTDATA("Sum of Old G E-Learning",'Pivot Table for Fact Book'!$A$3,"State","MD","type",2,"Type2","Four-Year")</f>
        <v>3483</v>
      </c>
      <c r="E75" s="228">
        <f>GETPIVOTDATA("Sum of New G E-Learning",'Pivot Table for Fact Book'!$A$3,"State","MD","type",2,"Type2","Four-Year")</f>
        <v>5429</v>
      </c>
      <c r="F75" s="227">
        <f>GETPIVOTDATA("Sum of Old G E-Learning",'Pivot Table for Fact Book'!$A$3,"State","MD","type",3,"Type2","Four-Year")</f>
        <v>3651</v>
      </c>
      <c r="G75" s="228">
        <f>GETPIVOTDATA("Sum of New G E-Learning",'Pivot Table for Fact Book'!$A$3,"State","MD","type",3,"Type2","Four-Year")</f>
        <v>4693</v>
      </c>
      <c r="H75" s="227">
        <f>GETPIVOTDATA("Sum of Old G E-Learning",'Pivot Table for Fact Book'!$A$3,"State","MD","type",4,"Type2","Four-Year")</f>
        <v>12622</v>
      </c>
      <c r="I75" s="228">
        <f>GETPIVOTDATA("Sum of New G E-Learning",'Pivot Table for Fact Book'!$A$3,"State","MD","type",4,"Type2","Four-Year")</f>
        <v>15138</v>
      </c>
      <c r="J75" s="227">
        <f>GETPIVOTDATA("Sum of Old G E-Learning",'Pivot Table for Fact Book'!$A$3,"State","MD","type",5,"Type2","Four-Year")</f>
        <v>0</v>
      </c>
      <c r="K75" s="228">
        <f>GETPIVOTDATA("Sum of New G E-Learning",'Pivot Table for Fact Book'!$A$3,"State","MD","type",5,"Type2","Four-Year")</f>
        <v>0</v>
      </c>
      <c r="L75" s="227">
        <f>GETPIVOTDATA("Sum of Old G E-Learning",'Pivot Table for Fact Book'!$A$3,"State","MD","type",6,"Type2","Four-Year")</f>
        <v>0</v>
      </c>
      <c r="M75" s="228">
        <f>GETPIVOTDATA("Sum of New G E-Learning",'Pivot Table for Fact Book'!$A$3,"State","MD","type",6,"Type2","Four-Year")</f>
        <v>0</v>
      </c>
      <c r="N75" s="227">
        <f>GETPIVOTDATA("Sum of Old G E-Learning",'Pivot Table for Fact Book'!$A$3,"State","MD","type",15,"Type2","Four-Year")</f>
        <v>103308</v>
      </c>
      <c r="O75" s="228">
        <f>GETPIVOTDATA("Sum of New G E-Learning",'Pivot Table for Fact Book'!$A$3,"State","MD","type",15,"Type2","Four-Year")</f>
        <v>154415</v>
      </c>
      <c r="P75" s="229">
        <f>GETPIVOTDATA("Sum of Old G E-Learning",'Pivot Table for Fact Book'!$A$3,"State","MD","Type2","Four-Year")</f>
        <v>126893</v>
      </c>
      <c r="Q75" s="229">
        <f>GETPIVOTDATA("Sum of New G E-Learning",'Pivot Table for Fact Book'!$A$3,"State","MD","Type2","Four-Year")</f>
        <v>185502</v>
      </c>
      <c r="R75" s="227">
        <f>GETPIVOTDATA("Sum of Old G E-Learning",'Pivot Table for Fact Book'!$A$3,"State","MD","type",7,"Type2","Two-Year")</f>
        <v>0</v>
      </c>
      <c r="S75" s="230">
        <f>GETPIVOTDATA("Sum of New G E-Learning",'Pivot Table for Fact Book'!$A$3,"State","MD","type",7,"Type2","Two-Year")</f>
        <v>0</v>
      </c>
      <c r="T75" s="230">
        <f>GETPIVOTDATA("Sum of Old G E-Learning",'Pivot Table for Fact Book'!$A$3,"State","MD","type",8,"Type2","Two-Year")</f>
        <v>0</v>
      </c>
      <c r="U75" s="230">
        <f>GETPIVOTDATA("Sum of New G E-Learning",'Pivot Table for Fact Book'!$A$3,"State","MD","type",8,"Type2","Two-Year")</f>
        <v>0</v>
      </c>
      <c r="V75" s="230">
        <f>GETPIVOTDATA("Sum of Old G E-Learning",'Pivot Table for Fact Book'!$A$3,"State","MD","type",9,"Type2","Two-Year")</f>
        <v>0</v>
      </c>
      <c r="W75" s="230">
        <f>GETPIVOTDATA("Sum of New G E-Learning",'Pivot Table for Fact Book'!$A$3,"State","MD","type",9,"Type2","Two-Year")</f>
        <v>0</v>
      </c>
      <c r="X75" s="230">
        <f>GETPIVOTDATA("Sum of Old G E-Learning",'Pivot Table for Fact Book'!$A$3,"State","MD","type",10,"Type2","Two-Year")</f>
        <v>0</v>
      </c>
      <c r="Y75" s="230">
        <f>GETPIVOTDATA("Sum of New G E-Learning",'Pivot Table for Fact Book'!$A$3,"State","MD","type",10,"Type2","Two-Year")</f>
        <v>0</v>
      </c>
      <c r="Z75" s="231">
        <f>GETPIVOTDATA("Sum of Old G E-Learning",'Pivot Table for Fact Book'!$A$3,"State","MD","Type2","Two-Year")</f>
        <v>0</v>
      </c>
      <c r="AA75" s="231">
        <f>GETPIVOTDATA("Sum of New G E-Learning",'Pivot Table for Fact Book'!$A$3,"State","MD","Type2","Two-Year")</f>
        <v>0</v>
      </c>
      <c r="AB75" s="227">
        <f>GETPIVOTDATA("Sum of Old G E-Learning",'Pivot Table for Fact Book'!$A$3,"State","MD","type",12,"Type2","Technical")</f>
        <v>0</v>
      </c>
      <c r="AC75" s="230">
        <f>GETPIVOTDATA("Sum of New G E-Learning",'Pivot Table for Fact Book'!$A$3,"State","MD","type",12,"Type2","Technical")</f>
        <v>0</v>
      </c>
      <c r="AD75" s="230">
        <f>GETPIVOTDATA("Sum of Old G E-Learning",'Pivot Table for Fact Book'!$A$3,"State","MD","type",13,"Type2","Technical")</f>
        <v>0</v>
      </c>
      <c r="AE75" s="230">
        <f>GETPIVOTDATA("Sum of New G E-Learning",'Pivot Table for Fact Book'!$A$3,"State","MD","type",13,"Type2","Technical")</f>
        <v>0</v>
      </c>
      <c r="AF75" s="233">
        <f>GETPIVOTDATA("Sum of Old G E-Learning",'Pivot Table for Fact Book'!$A$3,"State","MD","Type2","Technical")</f>
        <v>0</v>
      </c>
      <c r="AG75" s="233">
        <f>GETPIVOTDATA("Sum of New G E-Learning",'Pivot Table for Fact Book'!$A$3,"State","MD","Type2","Technical")</f>
        <v>0</v>
      </c>
      <c r="AH75" s="27"/>
    </row>
    <row r="76" spans="1:34">
      <c r="A76" s="226" t="s">
        <v>661</v>
      </c>
      <c r="B76" s="227">
        <f>GETPIVOTDATA("Sum of Old G E-Learning",'Pivot Table for Fact Book'!$A$3,"State","MS","type",1,"Type2","Four-Year")</f>
        <v>20741</v>
      </c>
      <c r="C76" s="228">
        <f>GETPIVOTDATA("Sum of New G E-Learning",'Pivot Table for Fact Book'!$A$3,"State","MS","type",1,"Type2","Four-Year")</f>
        <v>24277</v>
      </c>
      <c r="D76" s="227">
        <f>GETPIVOTDATA("Sum of Old G E-Learning",'Pivot Table for Fact Book'!$A$3,"State","MS","type",2,"Type2","Four-Year")</f>
        <v>3144</v>
      </c>
      <c r="E76" s="228">
        <f>GETPIVOTDATA("Sum of New G E-Learning",'Pivot Table for Fact Book'!$A$3,"State","MS","type",2,"Type2","Four-Year")</f>
        <v>3679</v>
      </c>
      <c r="F76" s="227">
        <f>GETPIVOTDATA("Sum of Old G E-Learning",'Pivot Table for Fact Book'!$A$3,"State","MS","type",3,"Type2","Four-Year")</f>
        <v>0</v>
      </c>
      <c r="G76" s="228">
        <f>GETPIVOTDATA("Sum of New G E-Learning",'Pivot Table for Fact Book'!$A$3,"State","MS","type",3,"Type2","Four-Year")</f>
        <v>0</v>
      </c>
      <c r="H76" s="227">
        <f>GETPIVOTDATA("Sum of Old G E-Learning",'Pivot Table for Fact Book'!$A$3,"State","MS","type",4,"Type2","Four-Year")</f>
        <v>7128</v>
      </c>
      <c r="I76" s="228">
        <f>GETPIVOTDATA("Sum of New G E-Learning",'Pivot Table for Fact Book'!$A$3,"State","MS","type",4,"Type2","Four-Year")</f>
        <v>11082</v>
      </c>
      <c r="J76" s="227">
        <f>GETPIVOTDATA("Sum of Old G E-Learning",'Pivot Table for Fact Book'!$A$3,"State","MS","type",5,"Type2","Four-Year")</f>
        <v>819</v>
      </c>
      <c r="K76" s="228">
        <f>GETPIVOTDATA("Sum of New G E-Learning",'Pivot Table for Fact Book'!$A$3,"State","MS","type",5,"Type2","Four-Year")</f>
        <v>1221</v>
      </c>
      <c r="L76" s="227">
        <f>GETPIVOTDATA("Sum of Old G E-Learning",'Pivot Table for Fact Book'!$A$3,"State","MS","type",6,"Type2","Four-Year")</f>
        <v>0</v>
      </c>
      <c r="M76" s="228">
        <f>GETPIVOTDATA("Sum of New G E-Learning",'Pivot Table for Fact Book'!$A$3,"State","MS","type",6,"Type2","Four-Year")</f>
        <v>0</v>
      </c>
      <c r="N76" s="227">
        <f>GETPIVOTDATA("Sum of Old G E-Learning",'Pivot Table for Fact Book'!$A$3,"State","MS","type",15,"Type2","Four-Year")</f>
        <v>0</v>
      </c>
      <c r="O76" s="228">
        <f>GETPIVOTDATA("Sum of New G E-Learning",'Pivot Table for Fact Book'!$A$3,"State","MS","type",15,"Type2","Four-Year")</f>
        <v>0</v>
      </c>
      <c r="P76" s="229">
        <f>GETPIVOTDATA("Sum of Old G E-Learning",'Pivot Table for Fact Book'!$A$3,"State","MS","Type2","Four-Year")</f>
        <v>31832</v>
      </c>
      <c r="Q76" s="229">
        <f>GETPIVOTDATA("Sum of New G E-Learning",'Pivot Table for Fact Book'!$A$3,"State","MS","Type2","Four-Year")</f>
        <v>40259</v>
      </c>
      <c r="R76" s="227">
        <f>GETPIVOTDATA("Sum of Old G E-Learning",'Pivot Table for Fact Book'!$A$3,"State","MS","type",7,"Type2","Two-Year")</f>
        <v>0</v>
      </c>
      <c r="S76" s="230">
        <f>GETPIVOTDATA("Sum of New G E-Learning",'Pivot Table for Fact Book'!$A$3,"State","MS","type",7,"Type2","Two-Year")</f>
        <v>0</v>
      </c>
      <c r="T76" s="230">
        <f>GETPIVOTDATA("Sum of Old G E-Learning",'Pivot Table for Fact Book'!$A$3,"State","MS","type",8,"Type2","Two-Year")</f>
        <v>0</v>
      </c>
      <c r="U76" s="230">
        <f>GETPIVOTDATA("Sum of New G E-Learning",'Pivot Table for Fact Book'!$A$3,"State","MS","type",8,"Type2","Two-Year")</f>
        <v>0</v>
      </c>
      <c r="V76" s="230">
        <f>GETPIVOTDATA("Sum of Old G E-Learning",'Pivot Table for Fact Book'!$A$3,"State","MS","type",9,"Type2","Two-Year")</f>
        <v>0</v>
      </c>
      <c r="W76" s="230">
        <f>GETPIVOTDATA("Sum of New G E-Learning",'Pivot Table for Fact Book'!$A$3,"State","MS","type",9,"Type2","Two-Year")</f>
        <v>0</v>
      </c>
      <c r="X76" s="230">
        <f>GETPIVOTDATA("Sum of Old G E-Learning",'Pivot Table for Fact Book'!$A$3,"State","MS","type",10,"Type2","Two-Year")</f>
        <v>0</v>
      </c>
      <c r="Y76" s="230">
        <f>GETPIVOTDATA("Sum of New G E-Learning",'Pivot Table for Fact Book'!$A$3,"State","MS","type",10,"Type2","Two-Year")</f>
        <v>0</v>
      </c>
      <c r="Z76" s="231">
        <f>GETPIVOTDATA("Sum of Old G E-Learning",'Pivot Table for Fact Book'!$A$3,"State","MS","Type2","Two-Year")</f>
        <v>0</v>
      </c>
      <c r="AA76" s="231">
        <f>GETPIVOTDATA("Sum of New G E-Learning",'Pivot Table for Fact Book'!$A$3,"State","MS","Type2","Two-Year")</f>
        <v>0</v>
      </c>
      <c r="AB76" s="227">
        <f>GETPIVOTDATA("Sum of Old G E-Learning",'Pivot Table for Fact Book'!$A$3,"State","MS","type",12,"Type2","Technical")</f>
        <v>0</v>
      </c>
      <c r="AC76" s="230">
        <f>GETPIVOTDATA("Sum of New G E-Learning",'Pivot Table for Fact Book'!$A$3,"State","MS","type",12,"Type2","Technical")</f>
        <v>0</v>
      </c>
      <c r="AD76" s="230">
        <f>GETPIVOTDATA("Sum of Old G E-Learning",'Pivot Table for Fact Book'!$A$3,"State","MS","type",13,"Type2","Technical")</f>
        <v>0</v>
      </c>
      <c r="AE76" s="230">
        <f>GETPIVOTDATA("Sum of New G E-Learning",'Pivot Table for Fact Book'!$A$3,"State","MS","type",13,"Type2","Technical")</f>
        <v>0</v>
      </c>
      <c r="AF76" s="233">
        <f>GETPIVOTDATA("Sum of Old G E-Learning",'Pivot Table for Fact Book'!$A$3,"State","MS","Type2","Technical")</f>
        <v>0</v>
      </c>
      <c r="AG76" s="233">
        <f>GETPIVOTDATA("Sum of New G E-Learning",'Pivot Table for Fact Book'!$A$3,"State","MS","Type2","Technical")</f>
        <v>0</v>
      </c>
      <c r="AH76" s="27"/>
    </row>
    <row r="77" spans="1:34">
      <c r="A77" s="226" t="s">
        <v>662</v>
      </c>
      <c r="B77" s="227">
        <f>GETPIVOTDATA("Sum of Old G E-Learning",'Pivot Table for Fact Book'!$A$3,"State","NC","type",1,"Type2","Four-Year")</f>
        <v>23878</v>
      </c>
      <c r="C77" s="228">
        <f>GETPIVOTDATA("Sum of New G E-Learning",'Pivot Table for Fact Book'!$A$3,"State","NC","type",1,"Type2","Four-Year")</f>
        <v>28205</v>
      </c>
      <c r="D77" s="227">
        <f>GETPIVOTDATA("Sum of Old G E-Learning",'Pivot Table for Fact Book'!$A$3,"State","NC","type",2,"Type2","Four-Year")</f>
        <v>11758</v>
      </c>
      <c r="E77" s="228">
        <f>GETPIVOTDATA("Sum of New G E-Learning",'Pivot Table for Fact Book'!$A$3,"State","NC","type",2,"Type2","Four-Year")</f>
        <v>20516</v>
      </c>
      <c r="F77" s="227">
        <f>GETPIVOTDATA("Sum of Old G E-Learning",'Pivot Table for Fact Book'!$A$3,"State","NC","type",3,"Type2","Four-Year")</f>
        <v>72497</v>
      </c>
      <c r="G77" s="228">
        <f>GETPIVOTDATA("Sum of New G E-Learning",'Pivot Table for Fact Book'!$A$3,"State","NC","type",3,"Type2","Four-Year")</f>
        <v>79342</v>
      </c>
      <c r="H77" s="227">
        <f>GETPIVOTDATA("Sum of Old G E-Learning",'Pivot Table for Fact Book'!$A$3,"State","NC","type",4,"Type2","Four-Year")</f>
        <v>2127</v>
      </c>
      <c r="I77" s="228">
        <f>GETPIVOTDATA("Sum of New G E-Learning",'Pivot Table for Fact Book'!$A$3,"State","NC","type",4,"Type2","Four-Year")</f>
        <v>1224</v>
      </c>
      <c r="J77" s="227">
        <f>GETPIVOTDATA("Sum of Old G E-Learning",'Pivot Table for Fact Book'!$A$3,"State","NC","type",5,"Type2","Four-Year")</f>
        <v>5292</v>
      </c>
      <c r="K77" s="228">
        <f>GETPIVOTDATA("Sum of New G E-Learning",'Pivot Table for Fact Book'!$A$3,"State","NC","type",5,"Type2","Four-Year")</f>
        <v>5637</v>
      </c>
      <c r="L77" s="227">
        <f>GETPIVOTDATA("Sum of Old G E-Learning",'Pivot Table for Fact Book'!$A$3,"State","NC","type",6,"Type2","Four-Year")</f>
        <v>234</v>
      </c>
      <c r="M77" s="228">
        <f>GETPIVOTDATA("Sum of New G E-Learning",'Pivot Table for Fact Book'!$A$3,"State","NC","type",6,"Type2","Four-Year")</f>
        <v>267</v>
      </c>
      <c r="N77" s="227">
        <f>GETPIVOTDATA("Sum of Old G E-Learning",'Pivot Table for Fact Book'!$A$3,"State","NC","type",15,"Type2","Four-Year")</f>
        <v>0</v>
      </c>
      <c r="O77" s="228">
        <f>GETPIVOTDATA("Sum of New G E-Learning",'Pivot Table for Fact Book'!$A$3,"State","NC","type",15,"Type2","Four-Year")</f>
        <v>0</v>
      </c>
      <c r="P77" s="229">
        <f>GETPIVOTDATA("Sum of Old G E-Learning",'Pivot Table for Fact Book'!$A$3,"State","NC","Type2","Four-Year")</f>
        <v>115786</v>
      </c>
      <c r="Q77" s="229">
        <f>GETPIVOTDATA("Sum of New G E-Learning",'Pivot Table for Fact Book'!$A$3,"State","NC","Type2","Four-Year")</f>
        <v>135191</v>
      </c>
      <c r="R77" s="227">
        <f>GETPIVOTDATA("Sum of Old G E-Learning",'Pivot Table for Fact Book'!$A$3,"State","NC","type",7,"Type2","Two-Year")</f>
        <v>0</v>
      </c>
      <c r="S77" s="230">
        <f>GETPIVOTDATA("Sum of New G E-Learning",'Pivot Table for Fact Book'!$A$3,"State","NC","type",7,"Type2","Two-Year")</f>
        <v>0</v>
      </c>
      <c r="T77" s="230">
        <f>GETPIVOTDATA("Sum of Old G E-Learning",'Pivot Table for Fact Book'!$A$3,"State","NC","type",8,"Type2","Two-Year")</f>
        <v>0</v>
      </c>
      <c r="U77" s="230">
        <f>GETPIVOTDATA("Sum of New G E-Learning",'Pivot Table for Fact Book'!$A$3,"State","NC","type",8,"Type2","Two-Year")</f>
        <v>0</v>
      </c>
      <c r="V77" s="230">
        <f>GETPIVOTDATA("Sum of Old G E-Learning",'Pivot Table for Fact Book'!$A$3,"State","NC","type",9,"Type2","Two-Year")</f>
        <v>0</v>
      </c>
      <c r="W77" s="230">
        <f>GETPIVOTDATA("Sum of New G E-Learning",'Pivot Table for Fact Book'!$A$3,"State","NC","type",9,"Type2","Two-Year")</f>
        <v>0</v>
      </c>
      <c r="X77" s="230">
        <f>GETPIVOTDATA("Sum of Old G E-Learning",'Pivot Table for Fact Book'!$A$3,"State","NC","type",10,"Type2","Two-Year")</f>
        <v>0</v>
      </c>
      <c r="Y77" s="230">
        <f>GETPIVOTDATA("Sum of New G E-Learning",'Pivot Table for Fact Book'!$A$3,"State","NC","type",10,"Type2","Two-Year")</f>
        <v>0</v>
      </c>
      <c r="Z77" s="231">
        <f>GETPIVOTDATA("Sum of Old G E-Learning",'Pivot Table for Fact Book'!$A$3,"State","NC","Type2","Two-Year")</f>
        <v>0</v>
      </c>
      <c r="AA77" s="231">
        <f>GETPIVOTDATA("Sum of New G E-Learning",'Pivot Table for Fact Book'!$A$3,"State","NC","Type2","Two-Year")</f>
        <v>0</v>
      </c>
      <c r="AB77" s="227">
        <f>GETPIVOTDATA("Sum of Old G E-Learning",'Pivot Table for Fact Book'!$A$3,"State","NC","type",12,"Type2","Technical")</f>
        <v>0</v>
      </c>
      <c r="AC77" s="230">
        <f>GETPIVOTDATA("Sum of New G E-Learning",'Pivot Table for Fact Book'!$A$3,"State","NC","type",12,"Type2","Technical")</f>
        <v>0</v>
      </c>
      <c r="AD77" s="230">
        <f>GETPIVOTDATA("Sum of Old G E-Learning",'Pivot Table for Fact Book'!$A$3,"State","NC","type",13,"Type2","Technical")</f>
        <v>0</v>
      </c>
      <c r="AE77" s="230">
        <f>GETPIVOTDATA("Sum of New G E-Learning",'Pivot Table for Fact Book'!$A$3,"State","NC","type",13,"Type2","Technical")</f>
        <v>0</v>
      </c>
      <c r="AF77" s="233">
        <f>GETPIVOTDATA("Sum of Old G E-Learning",'Pivot Table for Fact Book'!$A$3,"State","NC","Type2","Technical")</f>
        <v>0</v>
      </c>
      <c r="AG77" s="233">
        <f>GETPIVOTDATA("Sum of New G E-Learning",'Pivot Table for Fact Book'!$A$3,"State","NC","Type2","Technical")</f>
        <v>0</v>
      </c>
      <c r="AH77" s="27"/>
    </row>
    <row r="78" spans="1:34">
      <c r="A78" s="226" t="s">
        <v>663</v>
      </c>
      <c r="B78" s="227">
        <f>GETPIVOTDATA("Sum of Old G E-Learning",'Pivot Table for Fact Book'!$A$3,"State","OK","type",1,"Type2","Four-Year")</f>
        <v>18076</v>
      </c>
      <c r="C78" s="228">
        <f>GETPIVOTDATA("Sum of New G E-Learning",'Pivot Table for Fact Book'!$A$3,"State","OK","type",1,"Type2","Four-Year")</f>
        <v>21078</v>
      </c>
      <c r="D78" s="227">
        <f>GETPIVOTDATA("Sum of Old G E-Learning",'Pivot Table for Fact Book'!$A$3,"State","OK","type",2,"Type2","Four-Year")</f>
        <v>0</v>
      </c>
      <c r="E78" s="228">
        <f>GETPIVOTDATA("Sum of New G E-Learning",'Pivot Table for Fact Book'!$A$3,"State","OK","type",2,"Type2","Four-Year")</f>
        <v>0</v>
      </c>
      <c r="F78" s="227">
        <f>GETPIVOTDATA("Sum of Old G E-Learning",'Pivot Table for Fact Book'!$A$3,"State","OK","type",3,"Type2","Four-Year")</f>
        <v>4399</v>
      </c>
      <c r="G78" s="228">
        <f>GETPIVOTDATA("Sum of New G E-Learning",'Pivot Table for Fact Book'!$A$3,"State","OK","type",3,"Type2","Four-Year")</f>
        <v>4049</v>
      </c>
      <c r="H78" s="227">
        <f>GETPIVOTDATA("Sum of Old G E-Learning",'Pivot Table for Fact Book'!$A$3,"State","OK","type",4,"Type2","Four-Year")</f>
        <v>0</v>
      </c>
      <c r="I78" s="228">
        <f>GETPIVOTDATA("Sum of New G E-Learning",'Pivot Table for Fact Book'!$A$3,"State","OK","type",4,"Type2","Four-Year")</f>
        <v>0</v>
      </c>
      <c r="J78" s="227">
        <f>GETPIVOTDATA("Sum of Old G E-Learning",'Pivot Table for Fact Book'!$A$3,"State","OK","type",5,"Type2","Four-Year")</f>
        <v>15170</v>
      </c>
      <c r="K78" s="228">
        <f>GETPIVOTDATA("Sum of New G E-Learning",'Pivot Table for Fact Book'!$A$3,"State","OK","type",5,"Type2","Four-Year")</f>
        <v>16824</v>
      </c>
      <c r="L78" s="227">
        <f>GETPIVOTDATA("Sum of Old G E-Learning",'Pivot Table for Fact Book'!$A$3,"State","OK","type",6,"Type2","Four-Year")</f>
        <v>0</v>
      </c>
      <c r="M78" s="228">
        <f>GETPIVOTDATA("Sum of New G E-Learning",'Pivot Table for Fact Book'!$A$3,"State","OK","type",6,"Type2","Four-Year")</f>
        <v>0</v>
      </c>
      <c r="N78" s="227">
        <f>GETPIVOTDATA("Sum of Old G E-Learning",'Pivot Table for Fact Book'!$A$3,"State","OK","type",15,"Type2","Four-Year")</f>
        <v>0</v>
      </c>
      <c r="O78" s="228">
        <f>GETPIVOTDATA("Sum of New G E-Learning",'Pivot Table for Fact Book'!$A$3,"State","OK","type",15,"Type2","Four-Year")</f>
        <v>0</v>
      </c>
      <c r="P78" s="229">
        <f>GETPIVOTDATA("Sum of Old G E-Learning",'Pivot Table for Fact Book'!$A$3,"State","OK","Type2","Four-Year")</f>
        <v>37645</v>
      </c>
      <c r="Q78" s="229">
        <f>GETPIVOTDATA("Sum of New G E-Learning",'Pivot Table for Fact Book'!$A$3,"State","OK","Type2","Four-Year")</f>
        <v>41951</v>
      </c>
      <c r="R78" s="227">
        <f>GETPIVOTDATA("Sum of Old G E-Learning",'Pivot Table for Fact Book'!$A$3,"State","OK","type",7,"Type2","Two-Year")</f>
        <v>0</v>
      </c>
      <c r="S78" s="230">
        <f>GETPIVOTDATA("Sum of New G E-Learning",'Pivot Table for Fact Book'!$A$3,"State","OK","type",7,"Type2","Two-Year")</f>
        <v>0</v>
      </c>
      <c r="T78" s="230">
        <f>GETPIVOTDATA("Sum of Old G E-Learning",'Pivot Table for Fact Book'!$A$3,"State","OK","type",8,"Type2","Two-Year")</f>
        <v>0</v>
      </c>
      <c r="U78" s="230">
        <f>GETPIVOTDATA("Sum of New G E-Learning",'Pivot Table for Fact Book'!$A$3,"State","OK","type",8,"Type2","Two-Year")</f>
        <v>0</v>
      </c>
      <c r="V78" s="230">
        <f>GETPIVOTDATA("Sum of Old G E-Learning",'Pivot Table for Fact Book'!$A$3,"State","OK","type",9,"Type2","Two-Year")</f>
        <v>0</v>
      </c>
      <c r="W78" s="230">
        <f>GETPIVOTDATA("Sum of New G E-Learning",'Pivot Table for Fact Book'!$A$3,"State","OK","type",9,"Type2","Two-Year")</f>
        <v>0</v>
      </c>
      <c r="X78" s="230">
        <f>GETPIVOTDATA("Sum of Old G E-Learning",'Pivot Table for Fact Book'!$A$3,"State","OK","type",10,"Type2","Two-Year")</f>
        <v>0</v>
      </c>
      <c r="Y78" s="230">
        <f>GETPIVOTDATA("Sum of New G E-Learning",'Pivot Table for Fact Book'!$A$3,"State","OK","type",10,"Type2","Two-Year")</f>
        <v>0</v>
      </c>
      <c r="Z78" s="231">
        <f>GETPIVOTDATA("Sum of Old G E-Learning",'Pivot Table for Fact Book'!$A$3,"State","OK","Type2","Two-Year")</f>
        <v>0</v>
      </c>
      <c r="AA78" s="231">
        <f>GETPIVOTDATA("Sum of New G E-Learning",'Pivot Table for Fact Book'!$A$3,"State","OK","Type2","Two-Year")</f>
        <v>0</v>
      </c>
      <c r="AB78" s="227">
        <f>GETPIVOTDATA("Sum of Old G E-Learning",'Pivot Table for Fact Book'!$A$3,"State","OK","type",12,"Type2","Technical")</f>
        <v>0</v>
      </c>
      <c r="AC78" s="230">
        <f>GETPIVOTDATA("Sum of New G E-Learning",'Pivot Table for Fact Book'!$A$3,"State","OK","type",12,"Type2","Technical")</f>
        <v>0</v>
      </c>
      <c r="AD78" s="230">
        <f>GETPIVOTDATA("Sum of Old G E-Learning",'Pivot Table for Fact Book'!$A$3,"State","OK","type",13,"Type2","Technical")</f>
        <v>0</v>
      </c>
      <c r="AE78" s="230">
        <f>GETPIVOTDATA("Sum of New G E-Learning",'Pivot Table for Fact Book'!$A$3,"State","OK","type",13,"Type2","Technical")</f>
        <v>0</v>
      </c>
      <c r="AF78" s="233">
        <f>GETPIVOTDATA("Sum of Old G E-Learning",'Pivot Table for Fact Book'!$A$3,"State","OK","Type2","Technical")</f>
        <v>0</v>
      </c>
      <c r="AG78" s="233">
        <f>GETPIVOTDATA("Sum of New G E-Learning",'Pivot Table for Fact Book'!$A$3,"State","OK","Type2","Technical")</f>
        <v>0</v>
      </c>
      <c r="AH78" s="27"/>
    </row>
    <row r="79" spans="1:34">
      <c r="A79" s="226" t="s">
        <v>664</v>
      </c>
      <c r="B79" s="227">
        <f>GETPIVOTDATA("Sum of Old G E-Learning",'Pivot Table for Fact Book'!$A$3,"State","SC","type",1,"Type2","Four-Year")</f>
        <v>27031</v>
      </c>
      <c r="C79" s="228">
        <f>GETPIVOTDATA("Sum of New G E-Learning",'Pivot Table for Fact Book'!$A$3,"State","SC","type",1,"Type2","Four-Year")</f>
        <v>34229</v>
      </c>
      <c r="D79" s="227">
        <f>GETPIVOTDATA("Sum of Old G E-Learning",'Pivot Table for Fact Book'!$A$3,"State","SC","type",2,"Type2","Four-Year")</f>
        <v>0</v>
      </c>
      <c r="E79" s="228">
        <f>GETPIVOTDATA("Sum of New G E-Learning",'Pivot Table for Fact Book'!$A$3,"State","SC","type",2,"Type2","Four-Year")</f>
        <v>0</v>
      </c>
      <c r="F79" s="227">
        <f>GETPIVOTDATA("Sum of Old G E-Learning",'Pivot Table for Fact Book'!$A$3,"State","SC","type",3,"Type2","Four-Year")</f>
        <v>288</v>
      </c>
      <c r="G79" s="228">
        <f>GETPIVOTDATA("Sum of New G E-Learning",'Pivot Table for Fact Book'!$A$3,"State","SC","type",3,"Type2","Four-Year")</f>
        <v>93</v>
      </c>
      <c r="H79" s="227">
        <f>GETPIVOTDATA("Sum of Old G E-Learning",'Pivot Table for Fact Book'!$A$3,"State","SC","type",4,"Type2","Four-Year")</f>
        <v>581</v>
      </c>
      <c r="I79" s="228">
        <f>GETPIVOTDATA("Sum of New G E-Learning",'Pivot Table for Fact Book'!$A$3,"State","SC","type",4,"Type2","Four-Year")</f>
        <v>579</v>
      </c>
      <c r="J79" s="227">
        <f>GETPIVOTDATA("Sum of Old G E-Learning",'Pivot Table for Fact Book'!$A$3,"State","SC","type",5,"Type2","Four-Year")</f>
        <v>2373</v>
      </c>
      <c r="K79" s="228">
        <f>GETPIVOTDATA("Sum of New G E-Learning",'Pivot Table for Fact Book'!$A$3,"State","SC","type",5,"Type2","Four-Year")</f>
        <v>4947</v>
      </c>
      <c r="L79" s="227">
        <f>GETPIVOTDATA("Sum of Old G E-Learning",'Pivot Table for Fact Book'!$A$3,"State","SC","type",6,"Type2","Four-Year")</f>
        <v>597</v>
      </c>
      <c r="M79" s="228">
        <f>GETPIVOTDATA("Sum of New G E-Learning",'Pivot Table for Fact Book'!$A$3,"State","SC","type",6,"Type2","Four-Year")</f>
        <v>963</v>
      </c>
      <c r="N79" s="227">
        <f>GETPIVOTDATA("Sum of Old G E-Learning",'Pivot Table for Fact Book'!$A$3,"State","SC","type",15,"Type2","Four-Year")</f>
        <v>0</v>
      </c>
      <c r="O79" s="228">
        <f>GETPIVOTDATA("Sum of New G E-Learning",'Pivot Table for Fact Book'!$A$3,"State","SC","type",15,"Type2","Four-Year")</f>
        <v>0</v>
      </c>
      <c r="P79" s="229">
        <f>GETPIVOTDATA("Sum of Old G E-Learning",'Pivot Table for Fact Book'!$A$3,"State","SC","Type2","Four-Year")</f>
        <v>30870</v>
      </c>
      <c r="Q79" s="229">
        <f>GETPIVOTDATA("Sum of New G E-Learning",'Pivot Table for Fact Book'!$A$3,"State","SC","Type2","Four-Year")</f>
        <v>40811</v>
      </c>
      <c r="R79" s="227">
        <f>GETPIVOTDATA("Sum of Old G E-Learning",'Pivot Table for Fact Book'!$A$3,"State","SC","type",7,"Type2","Two-Year")</f>
        <v>0</v>
      </c>
      <c r="S79" s="230">
        <f>GETPIVOTDATA("Sum of New G E-Learning",'Pivot Table for Fact Book'!$A$3,"State","SC","type",7,"Type2","Two-Year")</f>
        <v>0</v>
      </c>
      <c r="T79" s="230">
        <f>GETPIVOTDATA("Sum of Old G E-Learning",'Pivot Table for Fact Book'!$A$3,"State","SC","type",8,"Type2","Two-Year")</f>
        <v>0</v>
      </c>
      <c r="U79" s="230">
        <f>GETPIVOTDATA("Sum of New G E-Learning",'Pivot Table for Fact Book'!$A$3,"State","SC","type",8,"Type2","Two-Year")</f>
        <v>0</v>
      </c>
      <c r="V79" s="230">
        <f>GETPIVOTDATA("Sum of Old G E-Learning",'Pivot Table for Fact Book'!$A$3,"State","SC","type",9,"Type2","Two-Year")</f>
        <v>0</v>
      </c>
      <c r="W79" s="230">
        <f>GETPIVOTDATA("Sum of New G E-Learning",'Pivot Table for Fact Book'!$A$3,"State","SC","type",9,"Type2","Two-Year")</f>
        <v>0</v>
      </c>
      <c r="X79" s="230">
        <f>GETPIVOTDATA("Sum of Old G E-Learning",'Pivot Table for Fact Book'!$A$3,"State","SC","type",10,"Type2","Two-Year")</f>
        <v>0</v>
      </c>
      <c r="Y79" s="230">
        <f>GETPIVOTDATA("Sum of New G E-Learning",'Pivot Table for Fact Book'!$A$3,"State","SC","type",10,"Type2","Two-Year")</f>
        <v>0</v>
      </c>
      <c r="Z79" s="231">
        <f>GETPIVOTDATA("Sum of Old G E-Learning",'Pivot Table for Fact Book'!$A$3,"State","SC","Type2","Two-Year")</f>
        <v>0</v>
      </c>
      <c r="AA79" s="231">
        <f>GETPIVOTDATA("Sum of New G E-Learning",'Pivot Table for Fact Book'!$A$3,"State","SC","Type2","Two-Year")</f>
        <v>0</v>
      </c>
      <c r="AB79" s="227">
        <f>GETPIVOTDATA("Sum of Old G E-Learning",'Pivot Table for Fact Book'!$A$3,"State","SC","type",12,"Type2","Technical")</f>
        <v>0</v>
      </c>
      <c r="AC79" s="230">
        <f>GETPIVOTDATA("Sum of New G E-Learning",'Pivot Table for Fact Book'!$A$3,"State","SC","type",12,"Type2","Technical")</f>
        <v>0</v>
      </c>
      <c r="AD79" s="230">
        <f>GETPIVOTDATA("Sum of Old G E-Learning",'Pivot Table for Fact Book'!$A$3,"State","SC","type",13,"Type2","Technical")</f>
        <v>0</v>
      </c>
      <c r="AE79" s="230">
        <f>GETPIVOTDATA("Sum of New G E-Learning",'Pivot Table for Fact Book'!$A$3,"State","SC","type",13,"Type2","Technical")</f>
        <v>0</v>
      </c>
      <c r="AF79" s="233">
        <f>GETPIVOTDATA("Sum of Old G E-Learning",'Pivot Table for Fact Book'!$A$3,"State","SC","Type2","Technical")</f>
        <v>0</v>
      </c>
      <c r="AG79" s="233">
        <f>GETPIVOTDATA("Sum of New G E-Learning",'Pivot Table for Fact Book'!$A$3,"State","SC","Type2","Technical")</f>
        <v>0</v>
      </c>
      <c r="AH79" s="27"/>
    </row>
    <row r="80" spans="1:34">
      <c r="A80" s="226" t="s">
        <v>665</v>
      </c>
      <c r="B80" s="227">
        <f>GETPIVOTDATA("Sum of Old G E-Learning",'Pivot Table for Fact Book'!$A$3,"State","TN","type",1,"Type2","Four-Year")</f>
        <v>26026</v>
      </c>
      <c r="C80" s="228">
        <f>GETPIVOTDATA("Sum of New G E-Learning",'Pivot Table for Fact Book'!$A$3,"State","TN","type",1,"Type2","Four-Year")</f>
        <v>31554</v>
      </c>
      <c r="D80" s="227">
        <f>GETPIVOTDATA("Sum of Old G E-Learning",'Pivot Table for Fact Book'!$A$3,"State","TN","type",2,"Type2","Four-Year")</f>
        <v>0</v>
      </c>
      <c r="E80" s="228">
        <f>GETPIVOTDATA("Sum of New G E-Learning",'Pivot Table for Fact Book'!$A$3,"State","TN","type",2,"Type2","Four-Year")</f>
        <v>0</v>
      </c>
      <c r="F80" s="227">
        <f>GETPIVOTDATA("Sum of Old G E-Learning",'Pivot Table for Fact Book'!$A$3,"State","TN","type",3,"Type2","Four-Year")</f>
        <v>30455</v>
      </c>
      <c r="G80" s="228">
        <f>GETPIVOTDATA("Sum of New G E-Learning",'Pivot Table for Fact Book'!$A$3,"State","TN","type",3,"Type2","Four-Year")</f>
        <v>39728</v>
      </c>
      <c r="H80" s="227">
        <f>GETPIVOTDATA("Sum of Old G E-Learning",'Pivot Table for Fact Book'!$A$3,"State","TN","type",4,"Type2","Four-Year")</f>
        <v>6932</v>
      </c>
      <c r="I80" s="228">
        <f>GETPIVOTDATA("Sum of New G E-Learning",'Pivot Table for Fact Book'!$A$3,"State","TN","type",4,"Type2","Four-Year")</f>
        <v>7190</v>
      </c>
      <c r="J80" s="227">
        <f>GETPIVOTDATA("Sum of Old G E-Learning",'Pivot Table for Fact Book'!$A$3,"State","TN","type",5,"Type2","Four-Year")</f>
        <v>3896</v>
      </c>
      <c r="K80" s="228">
        <f>GETPIVOTDATA("Sum of New G E-Learning",'Pivot Table for Fact Book'!$A$3,"State","TN","type",5,"Type2","Four-Year")</f>
        <v>5204</v>
      </c>
      <c r="L80" s="227">
        <f>GETPIVOTDATA("Sum of Old G E-Learning",'Pivot Table for Fact Book'!$A$3,"State","TN","type",6,"Type2","Four-Year")</f>
        <v>0</v>
      </c>
      <c r="M80" s="228">
        <f>GETPIVOTDATA("Sum of New G E-Learning",'Pivot Table for Fact Book'!$A$3,"State","TN","type",6,"Type2","Four-Year")</f>
        <v>0</v>
      </c>
      <c r="N80" s="227">
        <f>GETPIVOTDATA("Sum of Old G E-Learning",'Pivot Table for Fact Book'!$A$3,"State","TN","type",15,"Type2","Four-Year")</f>
        <v>0</v>
      </c>
      <c r="O80" s="228">
        <f>GETPIVOTDATA("Sum of New G E-Learning",'Pivot Table for Fact Book'!$A$3,"State","TN","type",15,"Type2","Four-Year")</f>
        <v>0</v>
      </c>
      <c r="P80" s="229">
        <f>GETPIVOTDATA("Sum of Old G E-Learning",'Pivot Table for Fact Book'!$A$3,"State","TN","Type2","Four-Year")</f>
        <v>67309</v>
      </c>
      <c r="Q80" s="229">
        <f>GETPIVOTDATA("Sum of New G E-Learning",'Pivot Table for Fact Book'!$A$3,"State","TN","Type2","Four-Year")</f>
        <v>83676</v>
      </c>
      <c r="R80" s="227">
        <f>GETPIVOTDATA("Sum of Old G E-Learning",'Pivot Table for Fact Book'!$A$3,"State","TN","type",7,"Type2","Two-Year")</f>
        <v>0</v>
      </c>
      <c r="S80" s="230">
        <f>GETPIVOTDATA("Sum of New G E-Learning",'Pivot Table for Fact Book'!$A$3,"State","TN","type",7,"Type2","Two-Year")</f>
        <v>0</v>
      </c>
      <c r="T80" s="230">
        <f>GETPIVOTDATA("Sum of Old G E-Learning",'Pivot Table for Fact Book'!$A$3,"State","TN","type",8,"Type2","Two-Year")</f>
        <v>0</v>
      </c>
      <c r="U80" s="230">
        <f>GETPIVOTDATA("Sum of New G E-Learning",'Pivot Table for Fact Book'!$A$3,"State","TN","type",8,"Type2","Two-Year")</f>
        <v>0</v>
      </c>
      <c r="V80" s="230">
        <f>GETPIVOTDATA("Sum of Old G E-Learning",'Pivot Table for Fact Book'!$A$3,"State","TN","type",9,"Type2","Two-Year")</f>
        <v>0</v>
      </c>
      <c r="W80" s="230">
        <f>GETPIVOTDATA("Sum of New G E-Learning",'Pivot Table for Fact Book'!$A$3,"State","TN","type",9,"Type2","Two-Year")</f>
        <v>0</v>
      </c>
      <c r="X80" s="230">
        <f>GETPIVOTDATA("Sum of Old G E-Learning",'Pivot Table for Fact Book'!$A$3,"State","TN","type",10,"Type2","Two-Year")</f>
        <v>0</v>
      </c>
      <c r="Y80" s="230">
        <f>GETPIVOTDATA("Sum of New G E-Learning",'Pivot Table for Fact Book'!$A$3,"State","TN","type",10,"Type2","Two-Year")</f>
        <v>0</v>
      </c>
      <c r="Z80" s="231">
        <f>GETPIVOTDATA("Sum of Old G E-Learning",'Pivot Table for Fact Book'!$A$3,"State","TN","Type2","Two-Year")</f>
        <v>0</v>
      </c>
      <c r="AA80" s="231">
        <f>GETPIVOTDATA("Sum of New G E-Learning",'Pivot Table for Fact Book'!$A$3,"State","TN","Type2","Two-Year")</f>
        <v>0</v>
      </c>
      <c r="AB80" s="227">
        <f>GETPIVOTDATA("Sum of Old G E-Learning",'Pivot Table for Fact Book'!$A$3,"State","TN","type",12,"Type2","Technical")</f>
        <v>0</v>
      </c>
      <c r="AC80" s="230">
        <f>GETPIVOTDATA("Sum of New G E-Learning",'Pivot Table for Fact Book'!$A$3,"State","TN","type",12,"Type2","Technical")</f>
        <v>0</v>
      </c>
      <c r="AD80" s="230">
        <f>GETPIVOTDATA("Sum of Old G E-Learning",'Pivot Table for Fact Book'!$A$3,"State","TN","type",13,"Type2","Technical")</f>
        <v>0</v>
      </c>
      <c r="AE80" s="230">
        <f>GETPIVOTDATA("Sum of New G E-Learning",'Pivot Table for Fact Book'!$A$3,"State","TN","type",13,"Type2","Technical")</f>
        <v>0</v>
      </c>
      <c r="AF80" s="233">
        <f>GETPIVOTDATA("Sum of Old G E-Learning",'Pivot Table for Fact Book'!$A$3,"State","TN","Type2","Technical")</f>
        <v>0</v>
      </c>
      <c r="AG80" s="233">
        <f>GETPIVOTDATA("Sum of New G E-Learning",'Pivot Table for Fact Book'!$A$3,"State","TN","Type2","Technical")</f>
        <v>0</v>
      </c>
      <c r="AH80" s="27"/>
    </row>
    <row r="81" spans="1:34">
      <c r="A81" s="226" t="s">
        <v>666</v>
      </c>
      <c r="B81" s="227">
        <f>GETPIVOTDATA("Sum of Old G E-Learning",'Pivot Table for Fact Book'!$A$3,"State","TX","type",1,"Type2","Four-Year")</f>
        <v>79570</v>
      </c>
      <c r="C81" s="228">
        <f>GETPIVOTDATA("Sum of New G E-Learning",'Pivot Table for Fact Book'!$A$3,"State","TX","type",1,"Type2","Four-Year")</f>
        <v>84205</v>
      </c>
      <c r="D81" s="227">
        <f>GETPIVOTDATA("Sum of Old G E-Learning",'Pivot Table for Fact Book'!$A$3,"State","TX","type",2,"Type2","Four-Year")</f>
        <v>44697</v>
      </c>
      <c r="E81" s="228">
        <f>GETPIVOTDATA("Sum of New G E-Learning",'Pivot Table for Fact Book'!$A$3,"State","TX","type",2,"Type2","Four-Year")</f>
        <v>51851</v>
      </c>
      <c r="F81" s="227">
        <f>GETPIVOTDATA("Sum of Old G E-Learning",'Pivot Table for Fact Book'!$A$3,"State","TX","type",3,"Type2","Four-Year")</f>
        <v>162295</v>
      </c>
      <c r="G81" s="228">
        <f>GETPIVOTDATA("Sum of New G E-Learning",'Pivot Table for Fact Book'!$A$3,"State","TX","type",3,"Type2","Four-Year")</f>
        <v>194929</v>
      </c>
      <c r="H81" s="227">
        <f>GETPIVOTDATA("Sum of Old G E-Learning",'Pivot Table for Fact Book'!$A$3,"State","TX","type",4,"Type2","Four-Year")</f>
        <v>23706</v>
      </c>
      <c r="I81" s="228">
        <f>GETPIVOTDATA("Sum of New G E-Learning",'Pivot Table for Fact Book'!$A$3,"State","TX","type",4,"Type2","Four-Year")</f>
        <v>26055</v>
      </c>
      <c r="J81" s="227">
        <f>GETPIVOTDATA("Sum of Old G E-Learning",'Pivot Table for Fact Book'!$A$3,"State","TX","type",5,"Type2","Four-Year")</f>
        <v>552</v>
      </c>
      <c r="K81" s="228">
        <f>GETPIVOTDATA("Sum of New G E-Learning",'Pivot Table for Fact Book'!$A$3,"State","TX","type",5,"Type2","Four-Year")</f>
        <v>1014</v>
      </c>
      <c r="L81" s="227">
        <f>GETPIVOTDATA("Sum of Old G E-Learning",'Pivot Table for Fact Book'!$A$3,"State","TX","type",6,"Type2","Four-Year")</f>
        <v>0</v>
      </c>
      <c r="M81" s="228">
        <f>GETPIVOTDATA("Sum of New G E-Learning",'Pivot Table for Fact Book'!$A$3,"State","TX","type",6,"Type2","Four-Year")</f>
        <v>36</v>
      </c>
      <c r="N81" s="227">
        <f>GETPIVOTDATA("Sum of Old G E-Learning",'Pivot Table for Fact Book'!$A$3,"State","TX","type",15,"Type2","Four-Year")</f>
        <v>0</v>
      </c>
      <c r="O81" s="228">
        <f>GETPIVOTDATA("Sum of New G E-Learning",'Pivot Table for Fact Book'!$A$3,"State","TX","type",15,"Type2","Four-Year")</f>
        <v>0</v>
      </c>
      <c r="P81" s="229">
        <f>GETPIVOTDATA("Sum of Old G E-Learning",'Pivot Table for Fact Book'!$A$3,"State","TX","Type2","Four-Year")</f>
        <v>310820</v>
      </c>
      <c r="Q81" s="229">
        <f>GETPIVOTDATA("Sum of New G E-Learning",'Pivot Table for Fact Book'!$A$3,"State","TX","Type2","Four-Year")</f>
        <v>358090</v>
      </c>
      <c r="R81" s="227">
        <f>GETPIVOTDATA("Sum of Old G E-Learning",'Pivot Table for Fact Book'!$A$3,"State","TX","type",7,"Type2","Two-Year")</f>
        <v>0</v>
      </c>
      <c r="S81" s="230">
        <f>GETPIVOTDATA("Sum of New G E-Learning",'Pivot Table for Fact Book'!$A$3,"State","TX","type",7,"Type2","Two-Year")</f>
        <v>0</v>
      </c>
      <c r="T81" s="230">
        <f>GETPIVOTDATA("Sum of Old G E-Learning",'Pivot Table for Fact Book'!$A$3,"State","TX","type",8,"Type2","Two-Year")</f>
        <v>0</v>
      </c>
      <c r="U81" s="230">
        <f>GETPIVOTDATA("Sum of New G E-Learning",'Pivot Table for Fact Book'!$A$3,"State","TX","type",8,"Type2","Two-Year")</f>
        <v>0</v>
      </c>
      <c r="V81" s="230">
        <f>GETPIVOTDATA("Sum of Old G E-Learning",'Pivot Table for Fact Book'!$A$3,"State","TX","type",9,"Type2","Two-Year")</f>
        <v>0</v>
      </c>
      <c r="W81" s="230">
        <f>GETPIVOTDATA("Sum of New G E-Learning",'Pivot Table for Fact Book'!$A$3,"State","TX","type",9,"Type2","Two-Year")</f>
        <v>0</v>
      </c>
      <c r="X81" s="230">
        <f>GETPIVOTDATA("Sum of Old G E-Learning",'Pivot Table for Fact Book'!$A$3,"State","TX","type",10,"Type2","Two-Year")</f>
        <v>0</v>
      </c>
      <c r="Y81" s="230">
        <f>GETPIVOTDATA("Sum of New G E-Learning",'Pivot Table for Fact Book'!$A$3,"State","TX","type",10,"Type2","Two-Year")</f>
        <v>0</v>
      </c>
      <c r="Z81" s="231">
        <f>GETPIVOTDATA("Sum of Old G E-Learning",'Pivot Table for Fact Book'!$A$3,"State","TX","Type2","Two-Year")</f>
        <v>0</v>
      </c>
      <c r="AA81" s="231">
        <f>GETPIVOTDATA("Sum of New G E-Learning",'Pivot Table for Fact Book'!$A$3,"State","TX","Type2","Two-Year")</f>
        <v>0</v>
      </c>
      <c r="AB81" s="227">
        <f>GETPIVOTDATA("Sum of Old G E-Learning",'Pivot Table for Fact Book'!$A$3,"State","TX","type",12,"Type2","Technical")</f>
        <v>0</v>
      </c>
      <c r="AC81" s="230">
        <f>GETPIVOTDATA("Sum of New G E-Learning",'Pivot Table for Fact Book'!$A$3,"State","TX","type",12,"Type2","Technical")</f>
        <v>0</v>
      </c>
      <c r="AD81" s="230">
        <f>GETPIVOTDATA("Sum of Old G E-Learning",'Pivot Table for Fact Book'!$A$3,"State","TX","type",13,"Type2","Technical")</f>
        <v>0</v>
      </c>
      <c r="AE81" s="230">
        <f>GETPIVOTDATA("Sum of New G E-Learning",'Pivot Table for Fact Book'!$A$3,"State","TX","type",13,"Type2","Technical")</f>
        <v>0</v>
      </c>
      <c r="AF81" s="233">
        <f>GETPIVOTDATA("Sum of Old G E-Learning",'Pivot Table for Fact Book'!$A$3,"State","TX","Type2","Technical")</f>
        <v>0</v>
      </c>
      <c r="AG81" s="233">
        <f>GETPIVOTDATA("Sum of New G E-Learning",'Pivot Table for Fact Book'!$A$3,"State","TX","Type2","Technical")</f>
        <v>0</v>
      </c>
      <c r="AH81" s="27"/>
    </row>
    <row r="82" spans="1:34">
      <c r="A82" s="226" t="s">
        <v>667</v>
      </c>
      <c r="B82" s="227">
        <f>GETPIVOTDATA("Sum of Old G E-Learning",'Pivot Table for Fact Book'!$A$3,"State","VA","type",1,"Type2","Four-Year")</f>
        <v>0</v>
      </c>
      <c r="C82" s="228">
        <f>GETPIVOTDATA("Sum of New G E-Learning",'Pivot Table for Fact Book'!$A$3,"State","VA","type",1,"Type2","Four-Year")</f>
        <v>0</v>
      </c>
      <c r="D82" s="227">
        <f>GETPIVOTDATA("Sum of Old G E-Learning",'Pivot Table for Fact Book'!$A$3,"State","VA","type",2,"Type2","Four-Year")</f>
        <v>0</v>
      </c>
      <c r="E82" s="228">
        <f>GETPIVOTDATA("Sum of New G E-Learning",'Pivot Table for Fact Book'!$A$3,"State","VA","type",2,"Type2","Four-Year")</f>
        <v>0</v>
      </c>
      <c r="F82" s="227">
        <f>GETPIVOTDATA("Sum of Old G E-Learning",'Pivot Table for Fact Book'!$A$3,"State","VA","type",3,"Type2","Four-Year")</f>
        <v>0</v>
      </c>
      <c r="G82" s="228">
        <f>GETPIVOTDATA("Sum of New G E-Learning",'Pivot Table for Fact Book'!$A$3,"State","VA","type",3,"Type2","Four-Year")</f>
        <v>0</v>
      </c>
      <c r="H82" s="227">
        <f>GETPIVOTDATA("Sum of Old G E-Learning",'Pivot Table for Fact Book'!$A$3,"State","VA","type",4,"Type2","Four-Year")</f>
        <v>0</v>
      </c>
      <c r="I82" s="228">
        <f>GETPIVOTDATA("Sum of New G E-Learning",'Pivot Table for Fact Book'!$A$3,"State","VA","type",4,"Type2","Four-Year")</f>
        <v>0</v>
      </c>
      <c r="J82" s="227">
        <f>GETPIVOTDATA("Sum of Old G E-Learning",'Pivot Table for Fact Book'!$A$3,"State","VA","type",5,"Type2","Four-Year")</f>
        <v>0</v>
      </c>
      <c r="K82" s="228">
        <f>GETPIVOTDATA("Sum of New G E-Learning",'Pivot Table for Fact Book'!$A$3,"State","VA","type",5,"Type2","Four-Year")</f>
        <v>0</v>
      </c>
      <c r="L82" s="227">
        <f>GETPIVOTDATA("Sum of Old G E-Learning",'Pivot Table for Fact Book'!$A$3,"State","VA","type",6,"Type2","Four-Year")</f>
        <v>0</v>
      </c>
      <c r="M82" s="228">
        <f>GETPIVOTDATA("Sum of New G E-Learning",'Pivot Table for Fact Book'!$A$3,"State","VA","type",6,"Type2","Four-Year")</f>
        <v>0</v>
      </c>
      <c r="N82" s="227">
        <f>GETPIVOTDATA("Sum of Old G E-Learning",'Pivot Table for Fact Book'!$A$3,"State","VA","type",15,"Type2","Four-Year")</f>
        <v>0</v>
      </c>
      <c r="O82" s="228">
        <f>GETPIVOTDATA("Sum of New G E-Learning",'Pivot Table for Fact Book'!$A$3,"State","VA","type",15,"Type2","Four-Year")</f>
        <v>0</v>
      </c>
      <c r="P82" s="229">
        <f>GETPIVOTDATA("Sum of Old G E-Learning",'Pivot Table for Fact Book'!$A$3,"State","VA","Type2","Four-Year")</f>
        <v>0</v>
      </c>
      <c r="Q82" s="229">
        <f>GETPIVOTDATA("Sum of New G E-Learning",'Pivot Table for Fact Book'!$A$3,"State","VA","Type2","Four-Year")</f>
        <v>0</v>
      </c>
      <c r="R82" s="227">
        <f>GETPIVOTDATA("Sum of Old G E-Learning",'Pivot Table for Fact Book'!$A$3,"State","VA","type",7,"Type2","Two-Year")</f>
        <v>0</v>
      </c>
      <c r="S82" s="230">
        <f>GETPIVOTDATA("Sum of New G E-Learning",'Pivot Table for Fact Book'!$A$3,"State","VA","type",7,"Type2","Two-Year")</f>
        <v>0</v>
      </c>
      <c r="T82" s="230">
        <f>GETPIVOTDATA("Sum of Old G E-Learning",'Pivot Table for Fact Book'!$A$3,"State","VA","type",8,"Type2","Two-Year")</f>
        <v>0</v>
      </c>
      <c r="U82" s="230">
        <f>GETPIVOTDATA("Sum of New G E-Learning",'Pivot Table for Fact Book'!$A$3,"State","VA","type",8,"Type2","Two-Year")</f>
        <v>0</v>
      </c>
      <c r="V82" s="230">
        <f>GETPIVOTDATA("Sum of Old G E-Learning",'Pivot Table for Fact Book'!$A$3,"State","VA","type",9,"Type2","Two-Year")</f>
        <v>0</v>
      </c>
      <c r="W82" s="230">
        <f>GETPIVOTDATA("Sum of New G E-Learning",'Pivot Table for Fact Book'!$A$3,"State","VA","type",9,"Type2","Two-Year")</f>
        <v>0</v>
      </c>
      <c r="X82" s="230">
        <f>GETPIVOTDATA("Sum of Old G E-Learning",'Pivot Table for Fact Book'!$A$3,"State","VA","type",10,"Type2","Two-Year")</f>
        <v>0</v>
      </c>
      <c r="Y82" s="230">
        <f>GETPIVOTDATA("Sum of New G E-Learning",'Pivot Table for Fact Book'!$A$3,"State","VA","type",10,"Type2","Two-Year")</f>
        <v>0</v>
      </c>
      <c r="Z82" s="231">
        <f>GETPIVOTDATA("Sum of Old G E-Learning",'Pivot Table for Fact Book'!$A$3,"State","VA","Type2","Two-Year")</f>
        <v>0</v>
      </c>
      <c r="AA82" s="231">
        <f>GETPIVOTDATA("Sum of New G E-Learning",'Pivot Table for Fact Book'!$A$3,"State","VA","Type2","Two-Year")</f>
        <v>0</v>
      </c>
      <c r="AB82" s="227">
        <f>GETPIVOTDATA("Sum of Old G E-Learning",'Pivot Table for Fact Book'!$A$3,"State","VA","type",12,"Type2","Technical")</f>
        <v>0</v>
      </c>
      <c r="AC82" s="230">
        <f>GETPIVOTDATA("Sum of New G E-Learning",'Pivot Table for Fact Book'!$A$3,"State","VA","type",12,"Type2","Technical")</f>
        <v>0</v>
      </c>
      <c r="AD82" s="230">
        <f>GETPIVOTDATA("Sum of Old G E-Learning",'Pivot Table for Fact Book'!$A$3,"State","VA","type",13,"Type2","Technical")</f>
        <v>0</v>
      </c>
      <c r="AE82" s="230">
        <f>GETPIVOTDATA("Sum of New G E-Learning",'Pivot Table for Fact Book'!$A$3,"State","VA","type",13,"Type2","Technical")</f>
        <v>0</v>
      </c>
      <c r="AF82" s="233">
        <f>GETPIVOTDATA("Sum of Old G E-Learning",'Pivot Table for Fact Book'!$A$3,"State","VA","Type2","Technical")</f>
        <v>0</v>
      </c>
      <c r="AG82" s="233">
        <f>GETPIVOTDATA("Sum of New G E-Learning",'Pivot Table for Fact Book'!$A$3,"State","VA","Type2","Technical")</f>
        <v>0</v>
      </c>
      <c r="AH82" s="27"/>
    </row>
    <row r="83" spans="1:34">
      <c r="A83" s="226" t="s">
        <v>668</v>
      </c>
      <c r="B83" s="227">
        <f>GETPIVOTDATA("Sum of Old G E-Learning",'Pivot Table for Fact Book'!$A$3,"State","WV","type",1,"Type2","Four-Year")</f>
        <v>23396</v>
      </c>
      <c r="C83" s="228">
        <f>GETPIVOTDATA("Sum of New G E-Learning",'Pivot Table for Fact Book'!$A$3,"State","WV","type",1,"Type2","Four-Year")</f>
        <v>26455</v>
      </c>
      <c r="D83" s="227">
        <f>GETPIVOTDATA("Sum of Old G E-Learning",'Pivot Table for Fact Book'!$A$3,"State","WV","type",2,"Type2","Four-Year")</f>
        <v>0</v>
      </c>
      <c r="E83" s="228">
        <f>GETPIVOTDATA("Sum of New G E-Learning",'Pivot Table for Fact Book'!$A$3,"State","WV","type",2,"Type2","Four-Year")</f>
        <v>0</v>
      </c>
      <c r="F83" s="227">
        <f>GETPIVOTDATA("Sum of Old G E-Learning",'Pivot Table for Fact Book'!$A$3,"State","WV","type",3,"Type2","Four-Year")</f>
        <v>13454</v>
      </c>
      <c r="G83" s="228">
        <f>GETPIVOTDATA("Sum of New G E-Learning",'Pivot Table for Fact Book'!$A$3,"State","WV","type",3,"Type2","Four-Year")</f>
        <v>12956</v>
      </c>
      <c r="H83" s="227">
        <f>GETPIVOTDATA("Sum of Old G E-Learning",'Pivot Table for Fact Book'!$A$3,"State","WV","type",4,"Type2","Four-Year")</f>
        <v>0</v>
      </c>
      <c r="I83" s="228">
        <f>GETPIVOTDATA("Sum of New G E-Learning",'Pivot Table for Fact Book'!$A$3,"State","WV","type",4,"Type2","Four-Year")</f>
        <v>0</v>
      </c>
      <c r="J83" s="227">
        <f>GETPIVOTDATA("Sum of Old G E-Learning",'Pivot Table for Fact Book'!$A$3,"State","WV","type",5,"Type2","Four-Year")</f>
        <v>4802</v>
      </c>
      <c r="K83" s="228">
        <f>GETPIVOTDATA("Sum of New G E-Learning",'Pivot Table for Fact Book'!$A$3,"State","WV","type",5,"Type2","Four-Year")</f>
        <v>4028</v>
      </c>
      <c r="L83" s="227">
        <f>GETPIVOTDATA("Sum of Old G E-Learning",'Pivot Table for Fact Book'!$A$3,"State","WV","type",6,"Type2","Four-Year")</f>
        <v>909</v>
      </c>
      <c r="M83" s="228">
        <f>GETPIVOTDATA("Sum of New G E-Learning",'Pivot Table for Fact Book'!$A$3,"State","WV","type",6,"Type2","Four-Year")</f>
        <v>1557</v>
      </c>
      <c r="N83" s="227">
        <f>GETPIVOTDATA("Sum of Old G E-Learning",'Pivot Table for Fact Book'!$A$3,"State","WV","type",15,"Type2","Four-Year")</f>
        <v>0</v>
      </c>
      <c r="O83" s="228">
        <f>GETPIVOTDATA("Sum of New G E-Learning",'Pivot Table for Fact Book'!$A$3,"State","WV","type",15,"Type2","Four-Year")</f>
        <v>0</v>
      </c>
      <c r="P83" s="229">
        <f>GETPIVOTDATA("Sum of Old G E-Learning",'Pivot Table for Fact Book'!$A$3,"State","WV","Type2","Four-Year")</f>
        <v>42561</v>
      </c>
      <c r="Q83" s="229">
        <f>GETPIVOTDATA("Sum of New G E-Learning",'Pivot Table for Fact Book'!$A$3,"State","WV","Type2","Four-Year")</f>
        <v>44996</v>
      </c>
      <c r="R83" s="227">
        <f>GETPIVOTDATA("Sum of Old G E-Learning",'Pivot Table for Fact Book'!$A$3,"State","WV","type",7,"Type2","Two-Year")</f>
        <v>0</v>
      </c>
      <c r="S83" s="230">
        <f>GETPIVOTDATA("Sum of New G E-Learning",'Pivot Table for Fact Book'!$A$3,"State","WV","type",7,"Type2","Two-Year")</f>
        <v>0</v>
      </c>
      <c r="T83" s="230">
        <f>GETPIVOTDATA("Sum of Old G E-Learning",'Pivot Table for Fact Book'!$A$3,"State","WV","type",8,"Type2","Two-Year")</f>
        <v>0</v>
      </c>
      <c r="U83" s="230">
        <f>GETPIVOTDATA("Sum of New G E-Learning",'Pivot Table for Fact Book'!$A$3,"State","WV","type",8,"Type2","Two-Year")</f>
        <v>0</v>
      </c>
      <c r="V83" s="230">
        <f>GETPIVOTDATA("Sum of Old G E-Learning",'Pivot Table for Fact Book'!$A$3,"State","WV","type",9,"Type2","Two-Year")</f>
        <v>0</v>
      </c>
      <c r="W83" s="230">
        <f>GETPIVOTDATA("Sum of New G E-Learning",'Pivot Table for Fact Book'!$A$3,"State","WV","type",9,"Type2","Two-Year")</f>
        <v>0</v>
      </c>
      <c r="X83" s="230">
        <f>GETPIVOTDATA("Sum of Old G E-Learning",'Pivot Table for Fact Book'!$A$3,"State","WV","type",10,"Type2","Two-Year")</f>
        <v>0</v>
      </c>
      <c r="Y83" s="230">
        <f>GETPIVOTDATA("Sum of New G E-Learning",'Pivot Table for Fact Book'!$A$3,"State","WV","type",10,"Type2","Two-Year")</f>
        <v>0</v>
      </c>
      <c r="Z83" s="231">
        <f>GETPIVOTDATA("Sum of Old G E-Learning",'Pivot Table for Fact Book'!$A$3,"State","WV","Type2","Two-Year")</f>
        <v>0</v>
      </c>
      <c r="AA83" s="231">
        <f>GETPIVOTDATA("Sum of New G E-Learning",'Pivot Table for Fact Book'!$A$3,"State","WV","Type2","Two-Year")</f>
        <v>0</v>
      </c>
      <c r="AB83" s="227">
        <f>GETPIVOTDATA("Sum of Old G E-Learning",'Pivot Table for Fact Book'!$A$3,"State","WV","type",12,"Type2","Technical")</f>
        <v>0</v>
      </c>
      <c r="AC83" s="230">
        <f>GETPIVOTDATA("Sum of New G E-Learning",'Pivot Table for Fact Book'!$A$3,"State","WV","type",12,"Type2","Technical")</f>
        <v>0</v>
      </c>
      <c r="AD83" s="230">
        <f>GETPIVOTDATA("Sum of Old G E-Learning",'Pivot Table for Fact Book'!$A$3,"State","WV","type",13,"Type2","Technical")</f>
        <v>0</v>
      </c>
      <c r="AE83" s="230">
        <f>GETPIVOTDATA("Sum of New G E-Learning",'Pivot Table for Fact Book'!$A$3,"State","WV","type",13,"Type2","Technical")</f>
        <v>0</v>
      </c>
      <c r="AF83" s="233">
        <f>GETPIVOTDATA("Sum of Old G E-Learning",'Pivot Table for Fact Book'!$A$3,"State","WV","Type2","Technical")</f>
        <v>0</v>
      </c>
      <c r="AG83" s="233">
        <f>GETPIVOTDATA("Sum of New G E-Learning",'Pivot Table for Fact Book'!$A$3,"State","WV","Type2","Technical")</f>
        <v>0</v>
      </c>
      <c r="AH83"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
    <tabColor rgb="FF006600"/>
  </sheetPr>
  <dimension ref="A2:V617"/>
  <sheetViews>
    <sheetView showGridLines="0" zoomScale="90" zoomScaleNormal="90" workbookViewId="0">
      <pane xSplit="2" ySplit="5" topLeftCell="C543" activePane="bottomRight" state="frozen"/>
      <selection pane="topRight" activeCell="C1" sqref="C1"/>
      <selection pane="bottomLeft" activeCell="A6" sqref="A6"/>
      <selection pane="bottomRight" activeCell="N565" sqref="N565"/>
    </sheetView>
  </sheetViews>
  <sheetFormatPr defaultRowHeight="15"/>
  <cols>
    <col min="1" max="1" width="6" style="243" customWidth="1"/>
    <col min="2" max="2" width="22" style="243" customWidth="1"/>
    <col min="3" max="3" width="11.42578125" style="243" customWidth="1"/>
    <col min="4" max="9" width="11.42578125" style="262" customWidth="1"/>
    <col min="10" max="10" width="9.5703125" style="262" customWidth="1"/>
    <col min="11" max="14" width="11.140625" style="262" customWidth="1"/>
    <col min="15" max="15" width="10.28515625" style="262" customWidth="1"/>
    <col min="16" max="17" width="11.28515625" style="262" customWidth="1"/>
    <col min="18" max="18" width="9.5703125" style="262" customWidth="1"/>
    <col min="19" max="19" width="9.140625" style="262" customWidth="1"/>
    <col min="20" max="22" width="9.140625" style="243" customWidth="1"/>
    <col min="23" max="16384" width="9.140625" style="243"/>
  </cols>
  <sheetData>
    <row r="2" spans="1:22">
      <c r="D2" s="262" t="s">
        <v>59</v>
      </c>
    </row>
    <row r="3" spans="1:22">
      <c r="A3" s="264"/>
      <c r="B3" s="265"/>
      <c r="C3" s="264" t="s">
        <v>564</v>
      </c>
      <c r="D3" s="266" t="s">
        <v>11</v>
      </c>
      <c r="E3" s="266"/>
      <c r="F3" s="267"/>
      <c r="G3" s="267"/>
      <c r="H3" s="267"/>
      <c r="I3" s="267"/>
      <c r="J3" s="267"/>
      <c r="K3" s="267"/>
      <c r="L3" s="267"/>
      <c r="M3" s="267"/>
      <c r="N3" s="267"/>
      <c r="O3" s="267"/>
      <c r="P3" s="267"/>
      <c r="Q3" s="267"/>
      <c r="R3" s="268"/>
      <c r="S3"/>
      <c r="T3"/>
      <c r="U3"/>
      <c r="V3"/>
    </row>
    <row r="4" spans="1:22">
      <c r="A4" s="269"/>
      <c r="B4" s="270"/>
      <c r="C4" s="269" t="s">
        <v>565</v>
      </c>
      <c r="D4" s="271"/>
      <c r="E4" s="270"/>
      <c r="F4" s="270"/>
      <c r="G4" s="270"/>
      <c r="H4" s="270"/>
      <c r="I4" s="270"/>
      <c r="J4" s="272" t="s">
        <v>565</v>
      </c>
      <c r="K4" s="269" t="s">
        <v>566</v>
      </c>
      <c r="L4" s="270"/>
      <c r="M4" s="270"/>
      <c r="N4" s="270"/>
      <c r="O4" s="269" t="s">
        <v>566</v>
      </c>
      <c r="P4" s="269" t="s">
        <v>567</v>
      </c>
      <c r="Q4" s="270"/>
      <c r="R4" s="273" t="s">
        <v>567</v>
      </c>
      <c r="S4"/>
      <c r="T4"/>
      <c r="U4"/>
      <c r="V4"/>
    </row>
    <row r="5" spans="1:22">
      <c r="A5" s="264" t="s">
        <v>5</v>
      </c>
      <c r="B5" s="264" t="s">
        <v>568</v>
      </c>
      <c r="C5" s="264">
        <v>1</v>
      </c>
      <c r="D5" s="275">
        <v>2</v>
      </c>
      <c r="E5" s="275">
        <v>3</v>
      </c>
      <c r="F5" s="275">
        <v>4</v>
      </c>
      <c r="G5" s="275">
        <v>5</v>
      </c>
      <c r="H5" s="275">
        <v>6</v>
      </c>
      <c r="I5" s="275">
        <v>15</v>
      </c>
      <c r="J5" s="276"/>
      <c r="K5" s="264">
        <v>7</v>
      </c>
      <c r="L5" s="275">
        <v>8</v>
      </c>
      <c r="M5" s="275">
        <v>9</v>
      </c>
      <c r="N5" s="275">
        <v>10</v>
      </c>
      <c r="O5" s="277"/>
      <c r="P5" s="264">
        <v>12</v>
      </c>
      <c r="Q5" s="275">
        <v>13</v>
      </c>
      <c r="R5" s="278"/>
      <c r="S5"/>
      <c r="T5"/>
      <c r="U5"/>
      <c r="V5"/>
    </row>
    <row r="6" spans="1:22">
      <c r="A6" s="280" t="s">
        <v>40</v>
      </c>
      <c r="B6" s="264" t="s">
        <v>569</v>
      </c>
      <c r="C6" s="281">
        <v>0.96074663354573642</v>
      </c>
      <c r="D6" s="282">
        <v>0.99309003850830968</v>
      </c>
      <c r="E6" s="282">
        <v>0.84738919589489115</v>
      </c>
      <c r="F6" s="282">
        <v>0.92817073613616274</v>
      </c>
      <c r="G6" s="282">
        <v>0.97162109421669285</v>
      </c>
      <c r="H6" s="282">
        <v>0.25487759710390806</v>
      </c>
      <c r="I6" s="282">
        <v>0</v>
      </c>
      <c r="J6" s="283">
        <v>0.90732045837275621</v>
      </c>
      <c r="K6" s="281">
        <v>0</v>
      </c>
      <c r="L6" s="282">
        <v>0.7963993698897307</v>
      </c>
      <c r="M6" s="282">
        <v>0.85595059646493032</v>
      </c>
      <c r="N6" s="282">
        <v>0.80683935984538468</v>
      </c>
      <c r="O6" s="281">
        <v>0.83498764894831534</v>
      </c>
      <c r="P6" s="281">
        <v>0.75768694008013326</v>
      </c>
      <c r="Q6" s="282">
        <v>1</v>
      </c>
      <c r="R6" s="284">
        <v>0.83364497535194948</v>
      </c>
      <c r="S6"/>
      <c r="T6"/>
      <c r="U6"/>
      <c r="V6"/>
    </row>
    <row r="7" spans="1:22">
      <c r="A7" s="285"/>
      <c r="B7" s="286" t="s">
        <v>570</v>
      </c>
      <c r="C7" s="287">
        <v>0.95605067100625774</v>
      </c>
      <c r="D7" s="288">
        <v>0.98763822402692147</v>
      </c>
      <c r="E7" s="288">
        <v>0.82589771603866657</v>
      </c>
      <c r="F7" s="288">
        <v>0.90336655813132027</v>
      </c>
      <c r="G7" s="288">
        <v>0.95848264232322089</v>
      </c>
      <c r="H7" s="288">
        <v>0.24670927233994844</v>
      </c>
      <c r="I7" s="288">
        <v>0</v>
      </c>
      <c r="J7" s="289">
        <v>0.89402747127563076</v>
      </c>
      <c r="K7" s="287">
        <v>0</v>
      </c>
      <c r="L7" s="288">
        <v>0.74466635567754047</v>
      </c>
      <c r="M7" s="288">
        <v>0.56031991125555092</v>
      </c>
      <c r="N7" s="288">
        <v>0.66536485979788484</v>
      </c>
      <c r="O7" s="287">
        <v>0.61714697705298971</v>
      </c>
      <c r="P7" s="287">
        <v>0.402276887181447</v>
      </c>
      <c r="Q7" s="288">
        <v>0.71041784836453015</v>
      </c>
      <c r="R7" s="290">
        <v>0.59170721879552424</v>
      </c>
      <c r="S7"/>
      <c r="T7"/>
      <c r="U7"/>
      <c r="V7"/>
    </row>
    <row r="8" spans="1:22">
      <c r="A8" s="285"/>
      <c r="B8" s="595" t="s">
        <v>571</v>
      </c>
      <c r="C8" s="596">
        <v>-0.46959625394786819</v>
      </c>
      <c r="D8" s="597">
        <v>-0.54518144813882063</v>
      </c>
      <c r="E8" s="597">
        <v>-2.1491479856224571</v>
      </c>
      <c r="F8" s="597">
        <v>-2.480417800484247</v>
      </c>
      <c r="G8" s="597">
        <v>-1.3138451893471959</v>
      </c>
      <c r="H8" s="597">
        <v>-0.81683247639596224</v>
      </c>
      <c r="I8" s="597">
        <v>0</v>
      </c>
      <c r="J8" s="598">
        <v>-1.3292987097125453</v>
      </c>
      <c r="K8" s="596">
        <v>0</v>
      </c>
      <c r="L8" s="597">
        <v>-5.1733014212190227</v>
      </c>
      <c r="M8" s="597">
        <v>-29.563068520937939</v>
      </c>
      <c r="N8" s="597">
        <v>-14.147450004749984</v>
      </c>
      <c r="O8" s="596">
        <v>-21.784067189532564</v>
      </c>
      <c r="P8" s="599">
        <v>-35.541005289868629</v>
      </c>
      <c r="Q8" s="597">
        <v>-28.958215163546985</v>
      </c>
      <c r="R8" s="600">
        <v>-24.193775655642526</v>
      </c>
      <c r="S8" t="s">
        <v>1010</v>
      </c>
      <c r="T8"/>
      <c r="U8"/>
      <c r="V8"/>
    </row>
    <row r="9" spans="1:22">
      <c r="A9" s="285"/>
      <c r="B9" s="264" t="s">
        <v>572</v>
      </c>
      <c r="C9" s="281">
        <v>7.0230942527234482E-4</v>
      </c>
      <c r="D9" s="282">
        <v>0</v>
      </c>
      <c r="E9" s="282">
        <v>9.8116612157437694E-3</v>
      </c>
      <c r="F9" s="282">
        <v>5.7380125170990353E-3</v>
      </c>
      <c r="G9" s="282">
        <v>1.1310144881362951E-3</v>
      </c>
      <c r="H9" s="282">
        <v>4.5484414389658182E-2</v>
      </c>
      <c r="I9" s="282">
        <v>0</v>
      </c>
      <c r="J9" s="283">
        <v>5.1395233643143105E-3</v>
      </c>
      <c r="K9" s="281">
        <v>0</v>
      </c>
      <c r="L9" s="282">
        <v>6.196084314755082E-2</v>
      </c>
      <c r="M9" s="282">
        <v>1.3995846605458747E-2</v>
      </c>
      <c r="N9" s="282">
        <v>1.2392395452259572E-2</v>
      </c>
      <c r="O9" s="281">
        <v>2.2877962790599587E-2</v>
      </c>
      <c r="P9" s="281">
        <v>0.13987304731463557</v>
      </c>
      <c r="Q9" s="282">
        <v>0</v>
      </c>
      <c r="R9" s="284">
        <v>9.6026950595725608E-2</v>
      </c>
      <c r="S9"/>
      <c r="T9"/>
      <c r="U9"/>
      <c r="V9"/>
    </row>
    <row r="10" spans="1:22">
      <c r="A10" s="285"/>
      <c r="B10" s="286" t="s">
        <v>573</v>
      </c>
      <c r="C10" s="287">
        <v>1.3815024500536211E-3</v>
      </c>
      <c r="D10" s="288">
        <v>0</v>
      </c>
      <c r="E10" s="288">
        <v>1.0394305845614567E-2</v>
      </c>
      <c r="F10" s="288">
        <v>5.4388435777718404E-3</v>
      </c>
      <c r="G10" s="288">
        <v>1.0758354547370811E-2</v>
      </c>
      <c r="H10" s="288">
        <v>4.5105953582240163E-2</v>
      </c>
      <c r="I10" s="288">
        <v>0</v>
      </c>
      <c r="J10" s="289">
        <v>5.9790211261551819E-3</v>
      </c>
      <c r="K10" s="287">
        <v>0</v>
      </c>
      <c r="L10" s="288">
        <v>6.1773288926979031E-2</v>
      </c>
      <c r="M10" s="288">
        <v>0.29063807060262103</v>
      </c>
      <c r="N10" s="288">
        <v>0.14752054355142552</v>
      </c>
      <c r="O10" s="287">
        <v>0.2176564207366834</v>
      </c>
      <c r="P10" s="287">
        <v>0.52249733491562245</v>
      </c>
      <c r="Q10" s="288">
        <v>0.20820570996407639</v>
      </c>
      <c r="R10" s="290">
        <v>0.32928586926200293</v>
      </c>
      <c r="S10"/>
      <c r="T10"/>
      <c r="U10"/>
      <c r="V10"/>
    </row>
    <row r="11" spans="1:22">
      <c r="A11" s="285"/>
      <c r="B11" s="595" t="s">
        <v>574</v>
      </c>
      <c r="C11" s="596">
        <v>6.7919302478127622E-2</v>
      </c>
      <c r="D11" s="597">
        <v>0</v>
      </c>
      <c r="E11" s="597">
        <v>5.826446298707981E-2</v>
      </c>
      <c r="F11" s="597">
        <v>-2.9916893932719485E-2</v>
      </c>
      <c r="G11" s="597">
        <v>0.9627340059234516</v>
      </c>
      <c r="H11" s="597">
        <v>-3.7846080741801846E-2</v>
      </c>
      <c r="I11" s="597">
        <v>0</v>
      </c>
      <c r="J11" s="598">
        <v>8.3949776184087138E-2</v>
      </c>
      <c r="K11" s="596">
        <v>0</v>
      </c>
      <c r="L11" s="597">
        <v>-1.875542205717895E-2</v>
      </c>
      <c r="M11" s="597">
        <v>27.664222399716227</v>
      </c>
      <c r="N11" s="597">
        <v>13.512814809916595</v>
      </c>
      <c r="O11" s="596">
        <v>19.477845794608381</v>
      </c>
      <c r="P11" s="599">
        <v>38.262428760098686</v>
      </c>
      <c r="Q11" s="597">
        <v>0</v>
      </c>
      <c r="R11" s="600">
        <v>23.325891866627732</v>
      </c>
      <c r="S11"/>
      <c r="T11"/>
      <c r="U11"/>
      <c r="V11"/>
    </row>
    <row r="12" spans="1:22">
      <c r="A12" s="285"/>
      <c r="B12" s="264" t="s">
        <v>575</v>
      </c>
      <c r="C12" s="281">
        <v>3.7017836926949828E-2</v>
      </c>
      <c r="D12" s="282">
        <v>6.9099614916903118E-3</v>
      </c>
      <c r="E12" s="282">
        <v>0.13718496082316992</v>
      </c>
      <c r="F12" s="282">
        <v>6.609125134673817E-2</v>
      </c>
      <c r="G12" s="282">
        <v>2.7247891295170888E-2</v>
      </c>
      <c r="H12" s="282">
        <v>0.69963798850643377</v>
      </c>
      <c r="I12" s="282">
        <v>0</v>
      </c>
      <c r="J12" s="283">
        <v>8.5196286018771647E-2</v>
      </c>
      <c r="K12" s="281">
        <v>0</v>
      </c>
      <c r="L12" s="282">
        <v>0.13693646388117919</v>
      </c>
      <c r="M12" s="282">
        <v>0.11445256386234463</v>
      </c>
      <c r="N12" s="282">
        <v>0.17557906777237633</v>
      </c>
      <c r="O12" s="281">
        <v>0.13064652028170176</v>
      </c>
      <c r="P12" s="281">
        <v>5.7623913924278576E-2</v>
      </c>
      <c r="Q12" s="282">
        <v>0</v>
      </c>
      <c r="R12" s="284">
        <v>3.9560507487135112E-2</v>
      </c>
      <c r="S12"/>
      <c r="T12"/>
      <c r="U12"/>
      <c r="V12"/>
    </row>
    <row r="13" spans="1:22">
      <c r="A13" s="285"/>
      <c r="B13" s="286" t="s">
        <v>576</v>
      </c>
      <c r="C13" s="287">
        <v>3.9979687203583518E-2</v>
      </c>
      <c r="D13" s="288">
        <v>1.2324523006811083E-2</v>
      </c>
      <c r="E13" s="288">
        <v>0.15787930796106736</v>
      </c>
      <c r="F13" s="288">
        <v>9.1194598290907938E-2</v>
      </c>
      <c r="G13" s="288">
        <v>3.0759003129408331E-2</v>
      </c>
      <c r="H13" s="288">
        <v>0.70818477407781144</v>
      </c>
      <c r="I13" s="288">
        <v>0</v>
      </c>
      <c r="J13" s="289">
        <v>9.7100781913611378E-2</v>
      </c>
      <c r="K13" s="287">
        <v>0</v>
      </c>
      <c r="L13" s="288">
        <v>0.13697913841547424</v>
      </c>
      <c r="M13" s="288">
        <v>0.13551685910471092</v>
      </c>
      <c r="N13" s="288">
        <v>0.18392294869420264</v>
      </c>
      <c r="O13" s="287">
        <v>0.14507128580715659</v>
      </c>
      <c r="P13" s="287">
        <v>7.5225777902930585E-2</v>
      </c>
      <c r="Q13" s="288">
        <v>8.1376441671393462E-2</v>
      </c>
      <c r="R13" s="290">
        <v>7.9006911942472807E-2</v>
      </c>
      <c r="S13"/>
      <c r="T13"/>
      <c r="U13"/>
      <c r="V13"/>
    </row>
    <row r="14" spans="1:22" s="291" customFormat="1">
      <c r="A14" s="285"/>
      <c r="B14" s="595" t="s">
        <v>577</v>
      </c>
      <c r="C14" s="596">
        <v>0.29618502766336902</v>
      </c>
      <c r="D14" s="597">
        <v>0.54145615151207716</v>
      </c>
      <c r="E14" s="597">
        <v>2.0694347137897444</v>
      </c>
      <c r="F14" s="597">
        <v>2.5103346944169767</v>
      </c>
      <c r="G14" s="597">
        <v>0.35111118342374437</v>
      </c>
      <c r="H14" s="597">
        <v>0.85467855713776686</v>
      </c>
      <c r="I14" s="597">
        <v>0</v>
      </c>
      <c r="J14" s="598">
        <v>1.1904495894839731</v>
      </c>
      <c r="K14" s="596">
        <v>0</v>
      </c>
      <c r="L14" s="597">
        <v>4.2674534295045197E-3</v>
      </c>
      <c r="M14" s="597">
        <v>2.1064295242366291</v>
      </c>
      <c r="N14" s="597">
        <v>0.83438809218263077</v>
      </c>
      <c r="O14" s="596">
        <v>1.4424765525454823</v>
      </c>
      <c r="P14" s="599">
        <v>1.7601863978652008</v>
      </c>
      <c r="Q14" s="597">
        <v>0</v>
      </c>
      <c r="R14" s="600">
        <v>3.9446404455337696</v>
      </c>
      <c r="S14"/>
      <c r="T14"/>
      <c r="U14"/>
      <c r="V14"/>
    </row>
    <row r="15" spans="1:22">
      <c r="A15" s="285"/>
      <c r="B15" s="264" t="s">
        <v>578</v>
      </c>
      <c r="C15" s="281">
        <v>4.7775698094902391E-4</v>
      </c>
      <c r="D15" s="282">
        <v>0</v>
      </c>
      <c r="E15" s="282">
        <v>1.6862953594655411E-3</v>
      </c>
      <c r="F15" s="282">
        <v>0</v>
      </c>
      <c r="G15" s="282">
        <v>0</v>
      </c>
      <c r="H15" s="282">
        <v>0</v>
      </c>
      <c r="I15" s="282">
        <v>0</v>
      </c>
      <c r="J15" s="283">
        <v>7.1202386322915124E-4</v>
      </c>
      <c r="K15" s="281">
        <v>0</v>
      </c>
      <c r="L15" s="282">
        <v>3.810666866701673E-3</v>
      </c>
      <c r="M15" s="282">
        <v>5.6757853975391917E-3</v>
      </c>
      <c r="N15" s="282">
        <v>8.0610967035784362E-4</v>
      </c>
      <c r="O15" s="281">
        <v>4.3715150335831661E-3</v>
      </c>
      <c r="P15" s="281">
        <v>0</v>
      </c>
      <c r="Q15" s="282">
        <v>0</v>
      </c>
      <c r="R15" s="284">
        <v>0</v>
      </c>
      <c r="S15"/>
      <c r="T15"/>
      <c r="U15"/>
      <c r="V15"/>
    </row>
    <row r="16" spans="1:22">
      <c r="A16" s="285"/>
      <c r="B16" s="286" t="s">
        <v>579</v>
      </c>
      <c r="C16" s="287">
        <v>3.7360575365765841E-4</v>
      </c>
      <c r="D16" s="288">
        <v>3.7252966267439043E-5</v>
      </c>
      <c r="E16" s="288">
        <v>2.704868867915702E-3</v>
      </c>
      <c r="F16" s="288">
        <v>0</v>
      </c>
      <c r="G16" s="288">
        <v>0</v>
      </c>
      <c r="H16" s="288">
        <v>0</v>
      </c>
      <c r="I16" s="288">
        <v>0</v>
      </c>
      <c r="J16" s="289">
        <v>9.5792983757573722E-4</v>
      </c>
      <c r="K16" s="287">
        <v>0</v>
      </c>
      <c r="L16" s="288">
        <v>3.7796027294720058E-3</v>
      </c>
      <c r="M16" s="288">
        <v>4.4280018809964745E-3</v>
      </c>
      <c r="N16" s="288">
        <v>1.5811419458888051E-3</v>
      </c>
      <c r="O16" s="287">
        <v>3.7540458110295032E-3</v>
      </c>
      <c r="P16" s="287">
        <v>0</v>
      </c>
      <c r="Q16" s="288">
        <v>0</v>
      </c>
      <c r="R16" s="290">
        <v>0</v>
      </c>
      <c r="S16"/>
      <c r="T16"/>
      <c r="U16"/>
      <c r="V16"/>
    </row>
    <row r="17" spans="1:22">
      <c r="A17" s="285"/>
      <c r="B17" s="595" t="s">
        <v>580</v>
      </c>
      <c r="C17" s="596">
        <v>-1.041512272913655E-2</v>
      </c>
      <c r="D17" s="597">
        <v>0</v>
      </c>
      <c r="E17" s="597">
        <v>0.1018573508450161</v>
      </c>
      <c r="F17" s="597">
        <v>0</v>
      </c>
      <c r="G17" s="597">
        <v>0</v>
      </c>
      <c r="H17" s="597">
        <v>0</v>
      </c>
      <c r="I17" s="597">
        <v>0</v>
      </c>
      <c r="J17" s="598">
        <v>2.45905974346586E-2</v>
      </c>
      <c r="K17" s="596">
        <v>0</v>
      </c>
      <c r="L17" s="597">
        <v>-3.1064137229667218E-3</v>
      </c>
      <c r="M17" s="597">
        <v>-0.12477835165427172</v>
      </c>
      <c r="N17" s="597">
        <v>7.7503227553096146E-2</v>
      </c>
      <c r="O17" s="596">
        <v>-6.1746922255366279E-2</v>
      </c>
      <c r="P17" s="599">
        <v>0</v>
      </c>
      <c r="Q17" s="597">
        <v>0</v>
      </c>
      <c r="R17" s="600">
        <v>0</v>
      </c>
      <c r="S17"/>
      <c r="T17"/>
      <c r="U17"/>
      <c r="V17"/>
    </row>
    <row r="18" spans="1:22">
      <c r="A18" s="285"/>
      <c r="B18" s="264" t="s">
        <v>581</v>
      </c>
      <c r="C18" s="281">
        <v>1.0394712556213073E-3</v>
      </c>
      <c r="D18" s="282">
        <v>0</v>
      </c>
      <c r="E18" s="282">
        <v>3.8827756206802106E-3</v>
      </c>
      <c r="F18" s="282">
        <v>0</v>
      </c>
      <c r="G18" s="282">
        <v>0</v>
      </c>
      <c r="H18" s="282">
        <v>0</v>
      </c>
      <c r="I18" s="282">
        <v>0</v>
      </c>
      <c r="J18" s="283">
        <v>1.6111602502015118E-3</v>
      </c>
      <c r="K18" s="281">
        <v>0</v>
      </c>
      <c r="L18" s="282">
        <v>8.9265621483759663E-4</v>
      </c>
      <c r="M18" s="282">
        <v>6.5322278433576917E-3</v>
      </c>
      <c r="N18" s="282">
        <v>4.3830672596215474E-3</v>
      </c>
      <c r="O18" s="281">
        <v>5.0334010396546882E-3</v>
      </c>
      <c r="P18" s="281">
        <v>4.4816098680952599E-2</v>
      </c>
      <c r="Q18" s="282">
        <v>0</v>
      </c>
      <c r="R18" s="284">
        <v>3.0767566565189843E-2</v>
      </c>
      <c r="S18"/>
      <c r="T18"/>
      <c r="U18"/>
      <c r="V18"/>
    </row>
    <row r="19" spans="1:22">
      <c r="A19" s="285"/>
      <c r="B19" s="286" t="s">
        <v>582</v>
      </c>
      <c r="C19" s="287">
        <v>2.2145335864474673E-3</v>
      </c>
      <c r="D19" s="288">
        <v>0</v>
      </c>
      <c r="E19" s="288">
        <v>3.1175640795077595E-3</v>
      </c>
      <c r="F19" s="288">
        <v>0</v>
      </c>
      <c r="G19" s="288">
        <v>0</v>
      </c>
      <c r="H19" s="288">
        <v>0</v>
      </c>
      <c r="I19" s="288">
        <v>0</v>
      </c>
      <c r="J19" s="289">
        <v>1.9329924020864656E-3</v>
      </c>
      <c r="K19" s="287">
        <v>0</v>
      </c>
      <c r="L19" s="288">
        <v>5.2801614250534284E-2</v>
      </c>
      <c r="M19" s="288">
        <v>9.0971571561205798E-3</v>
      </c>
      <c r="N19" s="288">
        <v>1.6105060105981687E-3</v>
      </c>
      <c r="O19" s="287">
        <v>1.6371270592140753E-2</v>
      </c>
      <c r="P19" s="287">
        <v>0</v>
      </c>
      <c r="Q19" s="288">
        <v>0</v>
      </c>
      <c r="R19" s="290">
        <v>0</v>
      </c>
      <c r="S19"/>
      <c r="T19"/>
      <c r="U19"/>
      <c r="V19"/>
    </row>
    <row r="20" spans="1:22">
      <c r="A20" s="285"/>
      <c r="B20" s="595" t="s">
        <v>583</v>
      </c>
      <c r="C20" s="596">
        <v>0.117506233082616</v>
      </c>
      <c r="D20" s="597">
        <v>0</v>
      </c>
      <c r="E20" s="597">
        <v>-7.652115411724511E-2</v>
      </c>
      <c r="F20" s="597">
        <v>0</v>
      </c>
      <c r="G20" s="597">
        <v>0</v>
      </c>
      <c r="H20" s="597">
        <v>0</v>
      </c>
      <c r="I20" s="597">
        <v>0</v>
      </c>
      <c r="J20" s="598">
        <v>3.218321518849538E-2</v>
      </c>
      <c r="K20" s="596">
        <v>0</v>
      </c>
      <c r="L20" s="597">
        <v>5.1908958035696688</v>
      </c>
      <c r="M20" s="597">
        <v>0.2564929312762888</v>
      </c>
      <c r="N20" s="597">
        <v>-0.27725612490233792</v>
      </c>
      <c r="O20" s="596">
        <v>1.1337869552486064</v>
      </c>
      <c r="P20" s="599">
        <v>-4.4816098680952603</v>
      </c>
      <c r="Q20" s="597">
        <v>0</v>
      </c>
      <c r="R20" s="600">
        <v>-3.0767566565189841</v>
      </c>
      <c r="S20"/>
      <c r="T20"/>
      <c r="U20"/>
      <c r="V20"/>
    </row>
    <row r="21" spans="1:22">
      <c r="A21" s="285"/>
      <c r="B21" s="264" t="s">
        <v>584</v>
      </c>
      <c r="C21" s="281">
        <v>1.5991865471097034E-5</v>
      </c>
      <c r="D21" s="282">
        <v>0</v>
      </c>
      <c r="E21" s="282">
        <v>4.5111086049396641E-5</v>
      </c>
      <c r="F21" s="282">
        <v>0</v>
      </c>
      <c r="G21" s="282">
        <v>0</v>
      </c>
      <c r="H21" s="282">
        <v>0</v>
      </c>
      <c r="I21" s="282">
        <v>0</v>
      </c>
      <c r="J21" s="283">
        <v>2.0548130727207685E-5</v>
      </c>
      <c r="K21" s="281">
        <v>0</v>
      </c>
      <c r="L21" s="282">
        <v>0</v>
      </c>
      <c r="M21" s="282">
        <v>3.3929798263693709E-3</v>
      </c>
      <c r="N21" s="282">
        <v>0</v>
      </c>
      <c r="O21" s="281">
        <v>2.0829519061454269E-3</v>
      </c>
      <c r="P21" s="281">
        <v>0</v>
      </c>
      <c r="Q21" s="282">
        <v>0</v>
      </c>
      <c r="R21" s="284">
        <v>0</v>
      </c>
      <c r="S21"/>
      <c r="T21"/>
      <c r="U21"/>
      <c r="V21"/>
    </row>
    <row r="22" spans="1:22">
      <c r="A22" s="285"/>
      <c r="B22" s="286" t="s">
        <v>585</v>
      </c>
      <c r="C22" s="287">
        <v>0</v>
      </c>
      <c r="D22" s="288">
        <v>0</v>
      </c>
      <c r="E22" s="288">
        <v>6.2372072280915496E-6</v>
      </c>
      <c r="F22" s="288">
        <v>0</v>
      </c>
      <c r="G22" s="288">
        <v>0</v>
      </c>
      <c r="H22" s="288">
        <v>0</v>
      </c>
      <c r="I22" s="288">
        <v>0</v>
      </c>
      <c r="J22" s="289">
        <v>1.8034449405253916E-6</v>
      </c>
      <c r="K22" s="287">
        <v>0</v>
      </c>
      <c r="L22" s="288">
        <v>0</v>
      </c>
      <c r="M22" s="288">
        <v>0</v>
      </c>
      <c r="N22" s="288">
        <v>0</v>
      </c>
      <c r="O22" s="287">
        <v>0</v>
      </c>
      <c r="P22" s="287">
        <v>0</v>
      </c>
      <c r="Q22" s="288">
        <v>0</v>
      </c>
      <c r="R22" s="290">
        <v>0</v>
      </c>
      <c r="S22"/>
      <c r="T22"/>
      <c r="U22"/>
      <c r="V22"/>
    </row>
    <row r="23" spans="1:22">
      <c r="A23" s="285"/>
      <c r="B23" s="595" t="s">
        <v>586</v>
      </c>
      <c r="C23" s="596">
        <v>-1.5991865471097035E-3</v>
      </c>
      <c r="D23" s="597">
        <v>0</v>
      </c>
      <c r="E23" s="597">
        <v>-3.8873878821305092E-3</v>
      </c>
      <c r="F23" s="597">
        <v>0</v>
      </c>
      <c r="G23" s="597">
        <v>0</v>
      </c>
      <c r="H23" s="597">
        <v>0</v>
      </c>
      <c r="I23" s="597">
        <v>0</v>
      </c>
      <c r="J23" s="598">
        <v>-1.8744685786682292E-3</v>
      </c>
      <c r="K23" s="596">
        <v>0</v>
      </c>
      <c r="L23" s="597">
        <v>0</v>
      </c>
      <c r="M23" s="597">
        <v>-0.33929798263693711</v>
      </c>
      <c r="N23" s="597">
        <v>0</v>
      </c>
      <c r="O23" s="596">
        <v>-0.20829519061454269</v>
      </c>
      <c r="P23" s="599">
        <v>0</v>
      </c>
      <c r="Q23" s="597">
        <v>0</v>
      </c>
      <c r="R23" s="600">
        <v>0</v>
      </c>
      <c r="S23"/>
      <c r="T23"/>
      <c r="U23"/>
      <c r="V23"/>
    </row>
    <row r="24" spans="1:22">
      <c r="A24" s="285"/>
      <c r="B24" s="264" t="s">
        <v>587</v>
      </c>
      <c r="C24" s="281">
        <v>0.84036021486846446</v>
      </c>
      <c r="D24" s="282">
        <v>0.84343219336833641</v>
      </c>
      <c r="E24" s="282">
        <v>0.71656645045215661</v>
      </c>
      <c r="F24" s="282">
        <v>0.74751803366283731</v>
      </c>
      <c r="G24" s="282">
        <v>0.53286315789473682</v>
      </c>
      <c r="H24" s="282">
        <v>0</v>
      </c>
      <c r="I24" s="282">
        <v>0</v>
      </c>
      <c r="J24" s="283">
        <v>0.74163043628063685</v>
      </c>
      <c r="K24" s="281">
        <v>0</v>
      </c>
      <c r="L24" s="282">
        <v>0</v>
      </c>
      <c r="M24" s="282">
        <v>0</v>
      </c>
      <c r="N24" s="282">
        <v>0</v>
      </c>
      <c r="O24" s="281">
        <v>0</v>
      </c>
      <c r="P24" s="281">
        <v>0</v>
      </c>
      <c r="Q24" s="282">
        <v>0</v>
      </c>
      <c r="R24" s="284">
        <v>0</v>
      </c>
      <c r="S24"/>
      <c r="T24"/>
      <c r="U24"/>
      <c r="V24"/>
    </row>
    <row r="25" spans="1:22">
      <c r="A25" s="285"/>
      <c r="B25" s="286" t="s">
        <v>588</v>
      </c>
      <c r="C25" s="287">
        <v>0.85943599393432246</v>
      </c>
      <c r="D25" s="288">
        <v>0.8369169096209913</v>
      </c>
      <c r="E25" s="288">
        <v>0.68857535154585481</v>
      </c>
      <c r="F25" s="288">
        <v>0.65979360459199254</v>
      </c>
      <c r="G25" s="288">
        <v>0.24743069349684774</v>
      </c>
      <c r="H25" s="288">
        <v>0</v>
      </c>
      <c r="I25" s="288">
        <v>0</v>
      </c>
      <c r="J25" s="289">
        <v>0.72373852137428618</v>
      </c>
      <c r="K25" s="287">
        <v>0</v>
      </c>
      <c r="L25" s="288">
        <v>0</v>
      </c>
      <c r="M25" s="288">
        <v>0</v>
      </c>
      <c r="N25" s="288">
        <v>0</v>
      </c>
      <c r="O25" s="287">
        <v>0</v>
      </c>
      <c r="P25" s="287">
        <v>0</v>
      </c>
      <c r="Q25" s="288">
        <v>0</v>
      </c>
      <c r="R25" s="290">
        <v>0</v>
      </c>
      <c r="S25"/>
      <c r="T25"/>
      <c r="U25"/>
      <c r="V25"/>
    </row>
    <row r="26" spans="1:22">
      <c r="A26" s="285"/>
      <c r="B26" s="595" t="s">
        <v>589</v>
      </c>
      <c r="C26" s="596">
        <v>1.9075779065858001</v>
      </c>
      <c r="D26" s="597">
        <v>-0.65152837473451131</v>
      </c>
      <c r="E26" s="597">
        <v>-2.7991098906301803</v>
      </c>
      <c r="F26" s="597">
        <v>-8.7724429070844767</v>
      </c>
      <c r="G26" s="597">
        <v>-28.543246439788906</v>
      </c>
      <c r="H26" s="597">
        <v>0</v>
      </c>
      <c r="I26" s="597">
        <v>0</v>
      </c>
      <c r="J26" s="598">
        <v>-1.789191490635067</v>
      </c>
      <c r="K26" s="596">
        <v>0</v>
      </c>
      <c r="L26" s="597">
        <v>0</v>
      </c>
      <c r="M26" s="597">
        <v>0</v>
      </c>
      <c r="N26" s="597">
        <v>0</v>
      </c>
      <c r="O26" s="596">
        <v>0</v>
      </c>
      <c r="P26" s="599">
        <v>0</v>
      </c>
      <c r="Q26" s="597">
        <v>0</v>
      </c>
      <c r="R26" s="600">
        <v>0</v>
      </c>
      <c r="S26"/>
      <c r="T26"/>
      <c r="U26"/>
      <c r="V26"/>
    </row>
    <row r="27" spans="1:22">
      <c r="A27" s="285"/>
      <c r="B27" s="264" t="s">
        <v>590</v>
      </c>
      <c r="C27" s="281">
        <v>2.8951112993042871E-2</v>
      </c>
      <c r="D27" s="282">
        <v>0</v>
      </c>
      <c r="E27" s="282">
        <v>1.7025709009990057E-2</v>
      </c>
      <c r="F27" s="282">
        <v>3.152551429334758E-2</v>
      </c>
      <c r="G27" s="282">
        <v>2.336842105263158E-3</v>
      </c>
      <c r="H27" s="282">
        <v>0</v>
      </c>
      <c r="I27" s="282">
        <v>0</v>
      </c>
      <c r="J27" s="283">
        <v>1.9877680704019744E-2</v>
      </c>
      <c r="K27" s="281">
        <v>0</v>
      </c>
      <c r="L27" s="282">
        <v>0</v>
      </c>
      <c r="M27" s="282">
        <v>0</v>
      </c>
      <c r="N27" s="282">
        <v>0</v>
      </c>
      <c r="O27" s="281">
        <v>0</v>
      </c>
      <c r="P27" s="281">
        <v>0</v>
      </c>
      <c r="Q27" s="282">
        <v>0</v>
      </c>
      <c r="R27" s="284">
        <v>0</v>
      </c>
      <c r="S27"/>
      <c r="T27"/>
      <c r="U27"/>
      <c r="V27"/>
    </row>
    <row r="28" spans="1:22">
      <c r="A28" s="285"/>
      <c r="B28" s="286" t="s">
        <v>591</v>
      </c>
      <c r="C28" s="287">
        <v>3.1347829226541161E-2</v>
      </c>
      <c r="D28" s="288">
        <v>0</v>
      </c>
      <c r="E28" s="288">
        <v>1.0794943421239525E-2</v>
      </c>
      <c r="F28" s="288">
        <v>0.11722200736835678</v>
      </c>
      <c r="G28" s="288">
        <v>1.1192676396925469E-2</v>
      </c>
      <c r="H28" s="288">
        <v>0</v>
      </c>
      <c r="I28" s="288">
        <v>0</v>
      </c>
      <c r="J28" s="289">
        <v>3.1759304176134671E-2</v>
      </c>
      <c r="K28" s="287">
        <v>0</v>
      </c>
      <c r="L28" s="288">
        <v>0</v>
      </c>
      <c r="M28" s="288">
        <v>0</v>
      </c>
      <c r="N28" s="288">
        <v>0</v>
      </c>
      <c r="O28" s="287">
        <v>0</v>
      </c>
      <c r="P28" s="287">
        <v>0</v>
      </c>
      <c r="Q28" s="288">
        <v>0</v>
      </c>
      <c r="R28" s="290">
        <v>0</v>
      </c>
      <c r="S28"/>
      <c r="T28"/>
      <c r="U28"/>
      <c r="V28"/>
    </row>
    <row r="29" spans="1:22">
      <c r="A29" s="285"/>
      <c r="B29" s="595" t="s">
        <v>592</v>
      </c>
      <c r="C29" s="596">
        <v>0.23967162334982903</v>
      </c>
      <c r="D29" s="597">
        <v>0</v>
      </c>
      <c r="E29" s="597">
        <v>-0.6230765588750532</v>
      </c>
      <c r="F29" s="597">
        <v>8.5696493075009208</v>
      </c>
      <c r="G29" s="597">
        <v>0.88558342916623101</v>
      </c>
      <c r="H29" s="597">
        <v>0</v>
      </c>
      <c r="I29" s="597">
        <v>0</v>
      </c>
      <c r="J29" s="598">
        <v>1.1881623472114928</v>
      </c>
      <c r="K29" s="596">
        <v>0</v>
      </c>
      <c r="L29" s="597">
        <v>0</v>
      </c>
      <c r="M29" s="597">
        <v>0</v>
      </c>
      <c r="N29" s="597">
        <v>0</v>
      </c>
      <c r="O29" s="596">
        <v>0</v>
      </c>
      <c r="P29" s="599">
        <v>0</v>
      </c>
      <c r="Q29" s="597">
        <v>0</v>
      </c>
      <c r="R29" s="600">
        <v>0</v>
      </c>
      <c r="S29"/>
      <c r="T29"/>
      <c r="U29"/>
      <c r="V29"/>
    </row>
    <row r="30" spans="1:22">
      <c r="A30" s="285"/>
      <c r="B30" s="264" t="s">
        <v>593</v>
      </c>
      <c r="C30" s="281">
        <v>9.2180737662542284E-2</v>
      </c>
      <c r="D30" s="282">
        <v>0.15585828484934489</v>
      </c>
      <c r="E30" s="282">
        <v>0.23248899199848491</v>
      </c>
      <c r="F30" s="282">
        <v>0.21358268768367619</v>
      </c>
      <c r="G30" s="282">
        <v>0.46479999999999999</v>
      </c>
      <c r="H30" s="282">
        <v>0</v>
      </c>
      <c r="I30" s="282">
        <v>0</v>
      </c>
      <c r="J30" s="283">
        <v>0.2135509594823958</v>
      </c>
      <c r="K30" s="281">
        <v>0</v>
      </c>
      <c r="L30" s="282">
        <v>0</v>
      </c>
      <c r="M30" s="282">
        <v>0</v>
      </c>
      <c r="N30" s="282">
        <v>0</v>
      </c>
      <c r="O30" s="281">
        <v>0</v>
      </c>
      <c r="P30" s="281">
        <v>0</v>
      </c>
      <c r="Q30" s="282">
        <v>0</v>
      </c>
      <c r="R30" s="284">
        <v>0</v>
      </c>
      <c r="S30"/>
      <c r="T30"/>
      <c r="U30"/>
      <c r="V30"/>
    </row>
    <row r="31" spans="1:22">
      <c r="A31" s="285"/>
      <c r="B31" s="286" t="s">
        <v>594</v>
      </c>
      <c r="C31" s="287">
        <v>6.4118629020953777E-2</v>
      </c>
      <c r="D31" s="288">
        <v>0.16103316326530612</v>
      </c>
      <c r="E31" s="288">
        <v>0.26964632356422519</v>
      </c>
      <c r="F31" s="288">
        <v>0.22212949581713448</v>
      </c>
      <c r="G31" s="288">
        <v>0.74137663010622679</v>
      </c>
      <c r="H31" s="288">
        <v>0</v>
      </c>
      <c r="I31" s="288">
        <v>0</v>
      </c>
      <c r="J31" s="289">
        <v>0.21476625730844845</v>
      </c>
      <c r="K31" s="287">
        <v>0</v>
      </c>
      <c r="L31" s="288">
        <v>0</v>
      </c>
      <c r="M31" s="288">
        <v>0</v>
      </c>
      <c r="N31" s="288">
        <v>0</v>
      </c>
      <c r="O31" s="287">
        <v>0</v>
      </c>
      <c r="P31" s="287">
        <v>0</v>
      </c>
      <c r="Q31" s="288">
        <v>0</v>
      </c>
      <c r="R31" s="290">
        <v>0</v>
      </c>
      <c r="S31"/>
      <c r="T31"/>
      <c r="U31"/>
      <c r="V31"/>
    </row>
    <row r="32" spans="1:22">
      <c r="A32" s="285"/>
      <c r="B32" s="595" t="s">
        <v>595</v>
      </c>
      <c r="C32" s="596">
        <v>-2.8062108641588508</v>
      </c>
      <c r="D32" s="597">
        <v>0.51748784159612315</v>
      </c>
      <c r="E32" s="597">
        <v>3.7157331565740277</v>
      </c>
      <c r="F32" s="597">
        <v>0.8546808133458289</v>
      </c>
      <c r="G32" s="597">
        <v>27.657663010622681</v>
      </c>
      <c r="H32" s="597">
        <v>0</v>
      </c>
      <c r="I32" s="597">
        <v>0</v>
      </c>
      <c r="J32" s="598">
        <v>0.1215297826052647</v>
      </c>
      <c r="K32" s="596">
        <v>0</v>
      </c>
      <c r="L32" s="597">
        <v>0</v>
      </c>
      <c r="M32" s="597">
        <v>0</v>
      </c>
      <c r="N32" s="597">
        <v>0</v>
      </c>
      <c r="O32" s="596">
        <v>0</v>
      </c>
      <c r="P32" s="599">
        <v>0</v>
      </c>
      <c r="Q32" s="597">
        <v>0</v>
      </c>
      <c r="R32" s="600">
        <v>0</v>
      </c>
      <c r="S32"/>
      <c r="T32"/>
      <c r="U32"/>
      <c r="V32"/>
    </row>
    <row r="33" spans="1:22">
      <c r="A33" s="285"/>
      <c r="B33" s="264" t="s">
        <v>596</v>
      </c>
      <c r="C33" s="281">
        <v>4.1063313326866928E-3</v>
      </c>
      <c r="D33" s="282">
        <v>0</v>
      </c>
      <c r="E33" s="282">
        <v>2.263150419014251E-3</v>
      </c>
      <c r="F33" s="282">
        <v>7.3737643601389262E-3</v>
      </c>
      <c r="G33" s="282">
        <v>0</v>
      </c>
      <c r="H33" s="282">
        <v>0</v>
      </c>
      <c r="I33" s="282">
        <v>0</v>
      </c>
      <c r="J33" s="283">
        <v>3.0065654654186664E-3</v>
      </c>
      <c r="K33" s="281">
        <v>0</v>
      </c>
      <c r="L33" s="282">
        <v>0</v>
      </c>
      <c r="M33" s="282">
        <v>0</v>
      </c>
      <c r="N33" s="282">
        <v>0</v>
      </c>
      <c r="O33" s="281">
        <v>0</v>
      </c>
      <c r="P33" s="281">
        <v>0</v>
      </c>
      <c r="Q33" s="282">
        <v>0</v>
      </c>
      <c r="R33" s="284">
        <v>0</v>
      </c>
      <c r="S33"/>
      <c r="T33"/>
      <c r="U33"/>
      <c r="V33"/>
    </row>
    <row r="34" spans="1:22">
      <c r="A34" s="285"/>
      <c r="B34" s="286" t="s">
        <v>597</v>
      </c>
      <c r="C34" s="287">
        <v>2.4254214753868567E-3</v>
      </c>
      <c r="D34" s="288">
        <v>1.5032798833819242E-3</v>
      </c>
      <c r="E34" s="288">
        <v>3.9392074238909147E-3</v>
      </c>
      <c r="F34" s="288">
        <v>8.5489222251623276E-4</v>
      </c>
      <c r="G34" s="288">
        <v>0</v>
      </c>
      <c r="H34" s="288">
        <v>0</v>
      </c>
      <c r="I34" s="288">
        <v>0</v>
      </c>
      <c r="J34" s="289">
        <v>2.259555237827763E-3</v>
      </c>
      <c r="K34" s="287">
        <v>0</v>
      </c>
      <c r="L34" s="288">
        <v>0</v>
      </c>
      <c r="M34" s="288">
        <v>0</v>
      </c>
      <c r="N34" s="288">
        <v>0</v>
      </c>
      <c r="O34" s="287">
        <v>0</v>
      </c>
      <c r="P34" s="287">
        <v>0</v>
      </c>
      <c r="Q34" s="288">
        <v>0</v>
      </c>
      <c r="R34" s="290">
        <v>0</v>
      </c>
      <c r="S34"/>
      <c r="T34"/>
      <c r="U34"/>
      <c r="V34"/>
    </row>
    <row r="35" spans="1:22">
      <c r="A35" s="285"/>
      <c r="B35" s="595" t="s">
        <v>598</v>
      </c>
      <c r="C35" s="596">
        <v>-0.1680909857299836</v>
      </c>
      <c r="D35" s="597">
        <v>0</v>
      </c>
      <c r="E35" s="597">
        <v>0.16760570048766638</v>
      </c>
      <c r="F35" s="597">
        <v>-0.65188721376226932</v>
      </c>
      <c r="G35" s="597">
        <v>0</v>
      </c>
      <c r="H35" s="597">
        <v>0</v>
      </c>
      <c r="I35" s="597">
        <v>0</v>
      </c>
      <c r="J35" s="598">
        <v>-7.4701022759090338E-2</v>
      </c>
      <c r="K35" s="596">
        <v>0</v>
      </c>
      <c r="L35" s="597">
        <v>0</v>
      </c>
      <c r="M35" s="597">
        <v>0</v>
      </c>
      <c r="N35" s="597">
        <v>0</v>
      </c>
      <c r="O35" s="596">
        <v>0</v>
      </c>
      <c r="P35" s="599">
        <v>0</v>
      </c>
      <c r="Q35" s="597">
        <v>0</v>
      </c>
      <c r="R35" s="600">
        <v>0</v>
      </c>
      <c r="S35"/>
      <c r="T35"/>
      <c r="U35"/>
      <c r="V35"/>
    </row>
    <row r="36" spans="1:22">
      <c r="A36" s="285"/>
      <c r="B36" s="264" t="s">
        <v>599</v>
      </c>
      <c r="C36" s="281">
        <v>3.438683216724684E-2</v>
      </c>
      <c r="D36" s="282">
        <v>7.0952178231871714E-4</v>
      </c>
      <c r="E36" s="282">
        <v>3.1655698120354153E-2</v>
      </c>
      <c r="F36" s="282">
        <v>0</v>
      </c>
      <c r="G36" s="282">
        <v>0</v>
      </c>
      <c r="H36" s="282">
        <v>0</v>
      </c>
      <c r="I36" s="282">
        <v>0</v>
      </c>
      <c r="J36" s="283">
        <v>2.19279972097037E-2</v>
      </c>
      <c r="K36" s="281">
        <v>0</v>
      </c>
      <c r="L36" s="282">
        <v>0</v>
      </c>
      <c r="M36" s="282">
        <v>0</v>
      </c>
      <c r="N36" s="282">
        <v>0</v>
      </c>
      <c r="O36" s="281">
        <v>0</v>
      </c>
      <c r="P36" s="281">
        <v>0</v>
      </c>
      <c r="Q36" s="282">
        <v>0</v>
      </c>
      <c r="R36" s="284">
        <v>0</v>
      </c>
      <c r="S36"/>
      <c r="T36"/>
      <c r="U36"/>
      <c r="V36"/>
    </row>
    <row r="37" spans="1:22">
      <c r="A37" s="285"/>
      <c r="B37" s="286" t="s">
        <v>600</v>
      </c>
      <c r="C37" s="287">
        <v>4.2672126342795734E-2</v>
      </c>
      <c r="D37" s="288">
        <v>5.4664723032069973E-4</v>
      </c>
      <c r="E37" s="288">
        <v>2.7044174044789544E-2</v>
      </c>
      <c r="F37" s="288">
        <v>0</v>
      </c>
      <c r="G37" s="288">
        <v>0</v>
      </c>
      <c r="H37" s="288">
        <v>0</v>
      </c>
      <c r="I37" s="288">
        <v>0</v>
      </c>
      <c r="J37" s="289">
        <v>2.7476361903302951E-2</v>
      </c>
      <c r="K37" s="287">
        <v>0</v>
      </c>
      <c r="L37" s="288">
        <v>0</v>
      </c>
      <c r="M37" s="288">
        <v>0</v>
      </c>
      <c r="N37" s="288">
        <v>0</v>
      </c>
      <c r="O37" s="287">
        <v>0</v>
      </c>
      <c r="P37" s="287">
        <v>0</v>
      </c>
      <c r="Q37" s="288">
        <v>0</v>
      </c>
      <c r="R37" s="290">
        <v>0</v>
      </c>
      <c r="S37"/>
      <c r="T37"/>
      <c r="U37"/>
      <c r="V37"/>
    </row>
    <row r="38" spans="1:22">
      <c r="A38" s="285"/>
      <c r="B38" s="595" t="s">
        <v>601</v>
      </c>
      <c r="C38" s="596">
        <v>0.8285294175548894</v>
      </c>
      <c r="D38" s="597">
        <v>-1.628745519980174E-2</v>
      </c>
      <c r="E38" s="597">
        <v>-0.46115240755646092</v>
      </c>
      <c r="F38" s="597">
        <v>0</v>
      </c>
      <c r="G38" s="597">
        <v>0</v>
      </c>
      <c r="H38" s="597">
        <v>0</v>
      </c>
      <c r="I38" s="597">
        <v>0</v>
      </c>
      <c r="J38" s="598">
        <v>0.55483646935992514</v>
      </c>
      <c r="K38" s="596">
        <v>0</v>
      </c>
      <c r="L38" s="597">
        <v>0</v>
      </c>
      <c r="M38" s="597">
        <v>0</v>
      </c>
      <c r="N38" s="597">
        <v>0</v>
      </c>
      <c r="O38" s="596">
        <v>0</v>
      </c>
      <c r="P38" s="599">
        <v>0</v>
      </c>
      <c r="Q38" s="597">
        <v>0</v>
      </c>
      <c r="R38" s="600">
        <v>0</v>
      </c>
      <c r="S38"/>
      <c r="T38"/>
      <c r="U38"/>
      <c r="V38"/>
    </row>
    <row r="39" spans="1:22">
      <c r="A39" s="285"/>
      <c r="B39" s="264" t="s">
        <v>602</v>
      </c>
      <c r="C39" s="281">
        <v>1.4770976016858608E-5</v>
      </c>
      <c r="D39" s="282">
        <v>0</v>
      </c>
      <c r="E39" s="282">
        <v>0</v>
      </c>
      <c r="F39" s="282">
        <v>0</v>
      </c>
      <c r="G39" s="282">
        <v>0</v>
      </c>
      <c r="H39" s="282">
        <v>0</v>
      </c>
      <c r="I39" s="282">
        <v>0</v>
      </c>
      <c r="J39" s="283">
        <v>6.3608578252863185E-6</v>
      </c>
      <c r="K39" s="281">
        <v>0</v>
      </c>
      <c r="L39" s="282">
        <v>0</v>
      </c>
      <c r="M39" s="282">
        <v>0</v>
      </c>
      <c r="N39" s="282">
        <v>0</v>
      </c>
      <c r="O39" s="281">
        <v>0</v>
      </c>
      <c r="P39" s="281">
        <v>0</v>
      </c>
      <c r="Q39" s="282">
        <v>0</v>
      </c>
      <c r="R39" s="284">
        <v>0</v>
      </c>
      <c r="S39"/>
      <c r="T39"/>
      <c r="U39"/>
      <c r="V39"/>
    </row>
    <row r="40" spans="1:22">
      <c r="A40" s="285"/>
      <c r="B40" s="286" t="s">
        <v>603</v>
      </c>
      <c r="C40" s="287">
        <v>0</v>
      </c>
      <c r="D40" s="288">
        <v>0</v>
      </c>
      <c r="E40" s="288">
        <v>0</v>
      </c>
      <c r="F40" s="288">
        <v>0</v>
      </c>
      <c r="G40" s="288">
        <v>0</v>
      </c>
      <c r="H40" s="288">
        <v>0</v>
      </c>
      <c r="I40" s="288">
        <v>0</v>
      </c>
      <c r="J40" s="289">
        <v>0</v>
      </c>
      <c r="K40" s="287">
        <v>0</v>
      </c>
      <c r="L40" s="288">
        <v>0</v>
      </c>
      <c r="M40" s="288">
        <v>0</v>
      </c>
      <c r="N40" s="288">
        <v>0</v>
      </c>
      <c r="O40" s="287">
        <v>0</v>
      </c>
      <c r="P40" s="287">
        <v>0</v>
      </c>
      <c r="Q40" s="288">
        <v>0</v>
      </c>
      <c r="R40" s="290">
        <v>0</v>
      </c>
      <c r="S40"/>
      <c r="T40"/>
      <c r="U40"/>
      <c r="V40"/>
    </row>
    <row r="41" spans="1:22">
      <c r="A41" s="292"/>
      <c r="B41" s="595" t="s">
        <v>604</v>
      </c>
      <c r="C41" s="596">
        <v>-1.4770976016858608E-3</v>
      </c>
      <c r="D41" s="597">
        <v>0</v>
      </c>
      <c r="E41" s="597">
        <v>0</v>
      </c>
      <c r="F41" s="597">
        <v>0</v>
      </c>
      <c r="G41" s="597">
        <v>0</v>
      </c>
      <c r="H41" s="597">
        <v>0</v>
      </c>
      <c r="I41" s="597">
        <v>0</v>
      </c>
      <c r="J41" s="598">
        <v>-6.3608578252863184E-4</v>
      </c>
      <c r="K41" s="596">
        <v>0</v>
      </c>
      <c r="L41" s="597">
        <v>0</v>
      </c>
      <c r="M41" s="597">
        <v>0</v>
      </c>
      <c r="N41" s="597">
        <v>0</v>
      </c>
      <c r="O41" s="596">
        <v>0</v>
      </c>
      <c r="P41" s="599">
        <v>0</v>
      </c>
      <c r="Q41" s="597">
        <v>0</v>
      </c>
      <c r="R41" s="600">
        <v>0</v>
      </c>
      <c r="S41"/>
      <c r="T41"/>
      <c r="U41"/>
      <c r="V41"/>
    </row>
    <row r="42" spans="1:22">
      <c r="A42" s="280" t="s">
        <v>81</v>
      </c>
      <c r="B42" s="264" t="s">
        <v>569</v>
      </c>
      <c r="C42" s="281">
        <v>0.95681077439855566</v>
      </c>
      <c r="D42" s="282">
        <v>0</v>
      </c>
      <c r="E42" s="282">
        <v>0.79575316601189694</v>
      </c>
      <c r="F42" s="282">
        <v>0.85492025038260955</v>
      </c>
      <c r="G42" s="282">
        <v>0.87103443954804616</v>
      </c>
      <c r="H42" s="282">
        <v>0.87122311891850379</v>
      </c>
      <c r="I42" s="282">
        <v>0</v>
      </c>
      <c r="J42" s="283">
        <v>0.85800303867417793</v>
      </c>
      <c r="K42" s="281">
        <v>0</v>
      </c>
      <c r="L42" s="282">
        <v>0.70675197860610084</v>
      </c>
      <c r="M42" s="282">
        <v>0.68573893130239649</v>
      </c>
      <c r="N42" s="282">
        <v>0.72827995780621668</v>
      </c>
      <c r="O42" s="281">
        <v>0.71317005185382554</v>
      </c>
      <c r="P42" s="281">
        <v>0</v>
      </c>
      <c r="Q42" s="282">
        <v>0</v>
      </c>
      <c r="R42" s="284">
        <v>0</v>
      </c>
      <c r="S42"/>
      <c r="T42"/>
      <c r="U42"/>
      <c r="V42"/>
    </row>
    <row r="43" spans="1:22">
      <c r="A43" s="285"/>
      <c r="B43" s="286" t="s">
        <v>570</v>
      </c>
      <c r="C43" s="287">
        <v>0.94385322186375609</v>
      </c>
      <c r="D43" s="288">
        <v>0</v>
      </c>
      <c r="E43" s="288">
        <v>0.7828768407614517</v>
      </c>
      <c r="F43" s="288">
        <v>0.82287869306235706</v>
      </c>
      <c r="G43" s="288">
        <v>0.8636032858463415</v>
      </c>
      <c r="H43" s="288">
        <v>0.88048728150250988</v>
      </c>
      <c r="I43" s="288">
        <v>0</v>
      </c>
      <c r="J43" s="289">
        <v>0.84734226328315809</v>
      </c>
      <c r="K43" s="287">
        <v>0</v>
      </c>
      <c r="L43" s="288">
        <v>0.68342841817827193</v>
      </c>
      <c r="M43" s="288">
        <v>0.73112760646229635</v>
      </c>
      <c r="N43" s="288">
        <v>0.71174776617504576</v>
      </c>
      <c r="O43" s="287">
        <v>0.71181260848008543</v>
      </c>
      <c r="P43" s="287">
        <v>0</v>
      </c>
      <c r="Q43" s="288">
        <v>0</v>
      </c>
      <c r="R43" s="290">
        <v>0</v>
      </c>
      <c r="S43"/>
      <c r="T43"/>
      <c r="U43"/>
      <c r="V43"/>
    </row>
    <row r="44" spans="1:22">
      <c r="A44" s="285"/>
      <c r="B44" s="595" t="s">
        <v>571</v>
      </c>
      <c r="C44" s="596">
        <v>-1.2957552534799577</v>
      </c>
      <c r="D44" s="597">
        <v>0</v>
      </c>
      <c r="E44" s="597">
        <v>-1.2876325250445242</v>
      </c>
      <c r="F44" s="597">
        <v>-3.2041557320252489</v>
      </c>
      <c r="G44" s="597">
        <v>-0.74311537017046625</v>
      </c>
      <c r="H44" s="597">
        <v>0.92641625840060859</v>
      </c>
      <c r="I44" s="597">
        <v>0</v>
      </c>
      <c r="J44" s="598">
        <v>-1.0660775391019839</v>
      </c>
      <c r="K44" s="596">
        <v>0</v>
      </c>
      <c r="L44" s="597">
        <v>-2.3323560427828904</v>
      </c>
      <c r="M44" s="597">
        <v>4.5388675159899865</v>
      </c>
      <c r="N44" s="597">
        <v>-1.6532191631170923</v>
      </c>
      <c r="O44" s="596">
        <v>-0.13574433737401082</v>
      </c>
      <c r="P44" s="599">
        <v>0</v>
      </c>
      <c r="Q44" s="597">
        <v>0</v>
      </c>
      <c r="R44" s="600">
        <v>0</v>
      </c>
      <c r="S44"/>
      <c r="T44"/>
      <c r="U44"/>
      <c r="V44"/>
    </row>
    <row r="45" spans="1:22">
      <c r="A45" s="285"/>
      <c r="B45" s="264" t="s">
        <v>572</v>
      </c>
      <c r="C45" s="281">
        <v>2.2404325726870448E-2</v>
      </c>
      <c r="D45" s="282">
        <v>0</v>
      </c>
      <c r="E45" s="282">
        <v>6.7301806234647779E-2</v>
      </c>
      <c r="F45" s="282">
        <v>3.266869274456187E-2</v>
      </c>
      <c r="G45" s="282">
        <v>2.1031306781395542E-2</v>
      </c>
      <c r="H45" s="282">
        <v>1.8451547319113769E-2</v>
      </c>
      <c r="I45" s="282">
        <v>0</v>
      </c>
      <c r="J45" s="283">
        <v>4.1437704820947253E-2</v>
      </c>
      <c r="K45" s="281">
        <v>0</v>
      </c>
      <c r="L45" s="282">
        <v>0</v>
      </c>
      <c r="M45" s="282">
        <v>0.14026233956796547</v>
      </c>
      <c r="N45" s="282">
        <v>0.11510129588904032</v>
      </c>
      <c r="O45" s="281">
        <v>0.10177860671025395</v>
      </c>
      <c r="P45" s="281">
        <v>0</v>
      </c>
      <c r="Q45" s="282">
        <v>0</v>
      </c>
      <c r="R45" s="284">
        <v>0</v>
      </c>
      <c r="S45"/>
      <c r="T45"/>
      <c r="U45"/>
      <c r="V45"/>
    </row>
    <row r="46" spans="1:22">
      <c r="A46" s="285"/>
      <c r="B46" s="286" t="s">
        <v>573</v>
      </c>
      <c r="C46" s="287">
        <v>2.422498431270639E-2</v>
      </c>
      <c r="D46" s="288">
        <v>0</v>
      </c>
      <c r="E46" s="288">
        <v>6.4084056623401983E-2</v>
      </c>
      <c r="F46" s="288">
        <v>5.0973614242812541E-2</v>
      </c>
      <c r="G46" s="288">
        <v>2.1785449705965267E-2</v>
      </c>
      <c r="H46" s="288">
        <v>1.3648947659099943E-2</v>
      </c>
      <c r="I46" s="288">
        <v>0</v>
      </c>
      <c r="J46" s="289">
        <v>4.2175477231240023E-2</v>
      </c>
      <c r="K46" s="287">
        <v>0</v>
      </c>
      <c r="L46" s="288">
        <v>0</v>
      </c>
      <c r="M46" s="288">
        <v>8.592778111895602E-2</v>
      </c>
      <c r="N46" s="288">
        <v>0.1119173215631392</v>
      </c>
      <c r="O46" s="287">
        <v>8.4573272871425839E-2</v>
      </c>
      <c r="P46" s="287">
        <v>0</v>
      </c>
      <c r="Q46" s="288">
        <v>0</v>
      </c>
      <c r="R46" s="290">
        <v>0</v>
      </c>
      <c r="S46"/>
      <c r="T46"/>
      <c r="U46"/>
      <c r="V46"/>
    </row>
    <row r="47" spans="1:22">
      <c r="A47" s="285"/>
      <c r="B47" s="595" t="s">
        <v>574</v>
      </c>
      <c r="C47" s="596">
        <v>0.18206585858359414</v>
      </c>
      <c r="D47" s="597">
        <v>0</v>
      </c>
      <c r="E47" s="597">
        <v>-0.32177496112457959</v>
      </c>
      <c r="F47" s="597">
        <v>1.8304921498250672</v>
      </c>
      <c r="G47" s="597">
        <v>7.5414292456972565E-2</v>
      </c>
      <c r="H47" s="597">
        <v>-0.4802599660013826</v>
      </c>
      <c r="I47" s="597">
        <v>0</v>
      </c>
      <c r="J47" s="598">
        <v>7.3777241029276963E-2</v>
      </c>
      <c r="K47" s="596">
        <v>0</v>
      </c>
      <c r="L47" s="597">
        <v>0</v>
      </c>
      <c r="M47" s="597">
        <v>-5.4334558449009442</v>
      </c>
      <c r="N47" s="597">
        <v>-0.31839743259011177</v>
      </c>
      <c r="O47" s="596">
        <v>-1.7205333838828107</v>
      </c>
      <c r="P47" s="599">
        <v>0</v>
      </c>
      <c r="Q47" s="597">
        <v>0</v>
      </c>
      <c r="R47" s="600">
        <v>0</v>
      </c>
      <c r="S47"/>
      <c r="T47"/>
      <c r="U47"/>
      <c r="V47"/>
    </row>
    <row r="48" spans="1:22">
      <c r="A48" s="285"/>
      <c r="B48" s="264" t="s">
        <v>575</v>
      </c>
      <c r="C48" s="281">
        <v>1.9365067124521147E-2</v>
      </c>
      <c r="D48" s="282">
        <v>0</v>
      </c>
      <c r="E48" s="282">
        <v>0.11703847773137135</v>
      </c>
      <c r="F48" s="282">
        <v>0.11241105687282855</v>
      </c>
      <c r="G48" s="282">
        <v>8.8824377101564295E-2</v>
      </c>
      <c r="H48" s="282">
        <v>8.6999447843114308E-2</v>
      </c>
      <c r="I48" s="282">
        <v>0</v>
      </c>
      <c r="J48" s="283">
        <v>8.7371054191436467E-2</v>
      </c>
      <c r="K48" s="281">
        <v>0</v>
      </c>
      <c r="L48" s="282">
        <v>0.29324802139389916</v>
      </c>
      <c r="M48" s="282">
        <v>8.8742974143620632E-2</v>
      </c>
      <c r="N48" s="282">
        <v>0.12742639928288174</v>
      </c>
      <c r="O48" s="281">
        <v>0.14596954356336209</v>
      </c>
      <c r="P48" s="281">
        <v>0</v>
      </c>
      <c r="Q48" s="282">
        <v>0</v>
      </c>
      <c r="R48" s="284">
        <v>0</v>
      </c>
      <c r="S48"/>
      <c r="T48"/>
      <c r="U48"/>
      <c r="V48"/>
    </row>
    <row r="49" spans="1:22">
      <c r="A49" s="285"/>
      <c r="B49" s="286" t="s">
        <v>576</v>
      </c>
      <c r="C49" s="287">
        <v>3.0265384639762694E-2</v>
      </c>
      <c r="D49" s="288">
        <v>0</v>
      </c>
      <c r="E49" s="288">
        <v>0.14097927353336295</v>
      </c>
      <c r="F49" s="288">
        <v>0.11314188842423821</v>
      </c>
      <c r="G49" s="288">
        <v>9.7460877318350778E-2</v>
      </c>
      <c r="H49" s="288">
        <v>8.0556933348811519E-2</v>
      </c>
      <c r="I49" s="288">
        <v>0</v>
      </c>
      <c r="J49" s="289">
        <v>9.8470730185648253E-2</v>
      </c>
      <c r="K49" s="287">
        <v>0</v>
      </c>
      <c r="L49" s="288">
        <v>0.31657158182172812</v>
      </c>
      <c r="M49" s="288">
        <v>0.11650642741999709</v>
      </c>
      <c r="N49" s="288">
        <v>0.14415168478845947</v>
      </c>
      <c r="O49" s="287">
        <v>0.16806627066432483</v>
      </c>
      <c r="P49" s="287">
        <v>0</v>
      </c>
      <c r="Q49" s="288">
        <v>0</v>
      </c>
      <c r="R49" s="290">
        <v>0</v>
      </c>
      <c r="S49"/>
      <c r="T49"/>
      <c r="U49"/>
      <c r="V49"/>
    </row>
    <row r="50" spans="1:22">
      <c r="A50" s="285"/>
      <c r="B50" s="595" t="s">
        <v>577</v>
      </c>
      <c r="C50" s="596">
        <v>1.0900317515241547</v>
      </c>
      <c r="D50" s="597">
        <v>0</v>
      </c>
      <c r="E50" s="597">
        <v>2.3940795801991599</v>
      </c>
      <c r="F50" s="597">
        <v>7.3083155140965528E-2</v>
      </c>
      <c r="G50" s="597">
        <v>0.86365002167864824</v>
      </c>
      <c r="H50" s="597">
        <v>-0.6442514494302789</v>
      </c>
      <c r="I50" s="597">
        <v>0</v>
      </c>
      <c r="J50" s="598">
        <v>1.1099675994211786</v>
      </c>
      <c r="K50" s="596">
        <v>0</v>
      </c>
      <c r="L50" s="597">
        <v>2.3323560427828962</v>
      </c>
      <c r="M50" s="597">
        <v>2.7763453276376455</v>
      </c>
      <c r="N50" s="597">
        <v>1.6725285505577725</v>
      </c>
      <c r="O50" s="596">
        <v>2.209672710096275</v>
      </c>
      <c r="P50" s="599">
        <v>0</v>
      </c>
      <c r="Q50" s="597">
        <v>0</v>
      </c>
      <c r="R50" s="600">
        <v>0</v>
      </c>
      <c r="S50"/>
      <c r="T50"/>
      <c r="U50"/>
      <c r="V50"/>
    </row>
    <row r="51" spans="1:22">
      <c r="A51" s="285"/>
      <c r="B51" s="264" t="s">
        <v>578</v>
      </c>
      <c r="C51" s="281">
        <v>1.2225077512434876E-3</v>
      </c>
      <c r="D51" s="282">
        <v>0</v>
      </c>
      <c r="E51" s="282">
        <v>6.0621088493358023E-3</v>
      </c>
      <c r="F51" s="282">
        <v>0</v>
      </c>
      <c r="G51" s="282">
        <v>1.9109876568993964E-2</v>
      </c>
      <c r="H51" s="282">
        <v>2.3325885919268083E-2</v>
      </c>
      <c r="I51" s="282">
        <v>0</v>
      </c>
      <c r="J51" s="283">
        <v>7.5243610162944842E-3</v>
      </c>
      <c r="K51" s="281">
        <v>0</v>
      </c>
      <c r="L51" s="282">
        <v>0</v>
      </c>
      <c r="M51" s="282">
        <v>1.6423083180614009E-3</v>
      </c>
      <c r="N51" s="282">
        <v>1.5879885624918391E-2</v>
      </c>
      <c r="O51" s="281">
        <v>9.312373183578939E-3</v>
      </c>
      <c r="P51" s="281">
        <v>0</v>
      </c>
      <c r="Q51" s="282">
        <v>0</v>
      </c>
      <c r="R51" s="284">
        <v>0</v>
      </c>
      <c r="S51"/>
      <c r="T51"/>
      <c r="U51"/>
      <c r="V51"/>
    </row>
    <row r="52" spans="1:22">
      <c r="A52" s="285"/>
      <c r="B52" s="286" t="s">
        <v>579</v>
      </c>
      <c r="C52" s="287">
        <v>1.2761111568877254E-3</v>
      </c>
      <c r="D52" s="288">
        <v>0</v>
      </c>
      <c r="E52" s="288">
        <v>1.1160800289744137E-2</v>
      </c>
      <c r="F52" s="288">
        <v>1.067482509378549E-2</v>
      </c>
      <c r="G52" s="288">
        <v>7.2771138048815668E-3</v>
      </c>
      <c r="H52" s="288">
        <v>2.5306837489578606E-2</v>
      </c>
      <c r="I52" s="288">
        <v>0</v>
      </c>
      <c r="J52" s="289">
        <v>1.0459353591654218E-2</v>
      </c>
      <c r="K52" s="287">
        <v>0</v>
      </c>
      <c r="L52" s="288">
        <v>0</v>
      </c>
      <c r="M52" s="288">
        <v>6.4013313451034351E-2</v>
      </c>
      <c r="N52" s="288">
        <v>3.1709548928840564E-2</v>
      </c>
      <c r="O52" s="287">
        <v>3.4635303714683242E-2</v>
      </c>
      <c r="P52" s="287">
        <v>0</v>
      </c>
      <c r="Q52" s="288">
        <v>0</v>
      </c>
      <c r="R52" s="290">
        <v>0</v>
      </c>
      <c r="S52"/>
      <c r="T52"/>
      <c r="U52"/>
      <c r="V52"/>
    </row>
    <row r="53" spans="1:22">
      <c r="A53" s="285"/>
      <c r="B53" s="595" t="s">
        <v>580</v>
      </c>
      <c r="C53" s="596">
        <v>5.3603405644237758E-3</v>
      </c>
      <c r="D53" s="597">
        <v>0</v>
      </c>
      <c r="E53" s="597">
        <v>0.5098691440408335</v>
      </c>
      <c r="F53" s="597">
        <v>0</v>
      </c>
      <c r="G53" s="597">
        <v>-1.1832762764112399</v>
      </c>
      <c r="H53" s="597">
        <v>0.19809515703105227</v>
      </c>
      <c r="I53" s="597">
        <v>0</v>
      </c>
      <c r="J53" s="598">
        <v>0.29349925753597339</v>
      </c>
      <c r="K53" s="596">
        <v>0</v>
      </c>
      <c r="L53" s="597">
        <v>0</v>
      </c>
      <c r="M53" s="597">
        <v>6.2371005132972952</v>
      </c>
      <c r="N53" s="597">
        <v>1.5829663303922172</v>
      </c>
      <c r="O53" s="596">
        <v>2.5322930531104304</v>
      </c>
      <c r="P53" s="599">
        <v>0</v>
      </c>
      <c r="Q53" s="597">
        <v>0</v>
      </c>
      <c r="R53" s="600">
        <v>0</v>
      </c>
      <c r="S53"/>
      <c r="T53"/>
      <c r="U53"/>
      <c r="V53"/>
    </row>
    <row r="54" spans="1:22">
      <c r="A54" s="285"/>
      <c r="B54" s="264" t="s">
        <v>581</v>
      </c>
      <c r="C54" s="281">
        <v>1.973249988092457E-4</v>
      </c>
      <c r="D54" s="282">
        <v>0</v>
      </c>
      <c r="E54" s="282">
        <v>1.3066982815845686E-2</v>
      </c>
      <c r="F54" s="282">
        <v>0</v>
      </c>
      <c r="G54" s="282">
        <v>0</v>
      </c>
      <c r="H54" s="282">
        <v>0</v>
      </c>
      <c r="I54" s="282">
        <v>0</v>
      </c>
      <c r="J54" s="283">
        <v>5.3483390799808602E-3</v>
      </c>
      <c r="K54" s="281">
        <v>0</v>
      </c>
      <c r="L54" s="282">
        <v>0</v>
      </c>
      <c r="M54" s="282">
        <v>8.3613446667955962E-2</v>
      </c>
      <c r="N54" s="282">
        <v>1.3165751441058542E-2</v>
      </c>
      <c r="O54" s="281">
        <v>2.9687442356172246E-2</v>
      </c>
      <c r="P54" s="281">
        <v>0</v>
      </c>
      <c r="Q54" s="282">
        <v>0</v>
      </c>
      <c r="R54" s="284">
        <v>0</v>
      </c>
      <c r="S54"/>
      <c r="T54"/>
      <c r="U54"/>
      <c r="V54"/>
    </row>
    <row r="55" spans="1:22">
      <c r="A55" s="285"/>
      <c r="B55" s="286" t="s">
        <v>582</v>
      </c>
      <c r="C55" s="287">
        <v>3.8029802688707047E-4</v>
      </c>
      <c r="D55" s="288">
        <v>0</v>
      </c>
      <c r="E55" s="288">
        <v>0</v>
      </c>
      <c r="F55" s="288">
        <v>2.3309791768067571E-3</v>
      </c>
      <c r="G55" s="288">
        <v>9.8732733244609357E-3</v>
      </c>
      <c r="H55" s="288">
        <v>0</v>
      </c>
      <c r="I55" s="288">
        <v>0</v>
      </c>
      <c r="J55" s="289">
        <v>1.2005501433125338E-3</v>
      </c>
      <c r="K55" s="287">
        <v>0</v>
      </c>
      <c r="L55" s="288">
        <v>0</v>
      </c>
      <c r="M55" s="288">
        <v>2.4248715477161445E-3</v>
      </c>
      <c r="N55" s="288">
        <v>4.7367854451501777E-4</v>
      </c>
      <c r="O55" s="287">
        <v>9.1254426948060346E-4</v>
      </c>
      <c r="P55" s="287">
        <v>0</v>
      </c>
      <c r="Q55" s="288">
        <v>0</v>
      </c>
      <c r="R55" s="290">
        <v>0</v>
      </c>
      <c r="S55"/>
      <c r="T55"/>
      <c r="U55"/>
      <c r="V55"/>
    </row>
    <row r="56" spans="1:22">
      <c r="A56" s="285"/>
      <c r="B56" s="595" t="s">
        <v>583</v>
      </c>
      <c r="C56" s="596">
        <v>1.8297302807782478E-2</v>
      </c>
      <c r="D56" s="597">
        <v>0</v>
      </c>
      <c r="E56" s="597">
        <v>-1.3066982815845685</v>
      </c>
      <c r="F56" s="597">
        <v>0</v>
      </c>
      <c r="G56" s="597">
        <v>0</v>
      </c>
      <c r="H56" s="597">
        <v>0</v>
      </c>
      <c r="I56" s="597">
        <v>0</v>
      </c>
      <c r="J56" s="598">
        <v>-0.41477889366683268</v>
      </c>
      <c r="K56" s="596">
        <v>0</v>
      </c>
      <c r="L56" s="597">
        <v>0</v>
      </c>
      <c r="M56" s="597">
        <v>-8.1188575120239825</v>
      </c>
      <c r="N56" s="597">
        <v>-1.2692072896543525</v>
      </c>
      <c r="O56" s="596">
        <v>-2.8774898086691643</v>
      </c>
      <c r="P56" s="599">
        <v>0</v>
      </c>
      <c r="Q56" s="597">
        <v>0</v>
      </c>
      <c r="R56" s="600">
        <v>0</v>
      </c>
      <c r="S56"/>
      <c r="T56"/>
      <c r="U56"/>
      <c r="V56"/>
    </row>
    <row r="57" spans="1:22">
      <c r="A57" s="285"/>
      <c r="B57" s="264" t="s">
        <v>584</v>
      </c>
      <c r="C57" s="281">
        <v>0</v>
      </c>
      <c r="D57" s="282">
        <v>0</v>
      </c>
      <c r="E57" s="282">
        <v>7.7745835690246122E-4</v>
      </c>
      <c r="F57" s="282">
        <v>0</v>
      </c>
      <c r="G57" s="282">
        <v>0</v>
      </c>
      <c r="H57" s="282">
        <v>0</v>
      </c>
      <c r="I57" s="282">
        <v>0</v>
      </c>
      <c r="J57" s="283">
        <v>3.1550221716300617E-4</v>
      </c>
      <c r="K57" s="281">
        <v>0</v>
      </c>
      <c r="L57" s="282">
        <v>0</v>
      </c>
      <c r="M57" s="282">
        <v>0</v>
      </c>
      <c r="N57" s="282">
        <v>1.4670995588431627E-4</v>
      </c>
      <c r="O57" s="281">
        <v>8.1982332807280028E-5</v>
      </c>
      <c r="P57" s="281">
        <v>0</v>
      </c>
      <c r="Q57" s="282">
        <v>0</v>
      </c>
      <c r="R57" s="284">
        <v>0</v>
      </c>
      <c r="S57"/>
      <c r="T57"/>
      <c r="U57"/>
      <c r="V57"/>
    </row>
    <row r="58" spans="1:22">
      <c r="A58" s="285"/>
      <c r="B58" s="286" t="s">
        <v>585</v>
      </c>
      <c r="C58" s="287">
        <v>0</v>
      </c>
      <c r="D58" s="288">
        <v>0</v>
      </c>
      <c r="E58" s="288">
        <v>8.9902879203922843E-4</v>
      </c>
      <c r="F58" s="288">
        <v>0</v>
      </c>
      <c r="G58" s="288">
        <v>0</v>
      </c>
      <c r="H58" s="288">
        <v>0</v>
      </c>
      <c r="I58" s="288">
        <v>0</v>
      </c>
      <c r="J58" s="289">
        <v>3.5162556498693462E-4</v>
      </c>
      <c r="K58" s="287">
        <v>0</v>
      </c>
      <c r="L58" s="288">
        <v>0</v>
      </c>
      <c r="M58" s="288">
        <v>0</v>
      </c>
      <c r="N58" s="288">
        <v>0</v>
      </c>
      <c r="O58" s="287">
        <v>0</v>
      </c>
      <c r="P58" s="287">
        <v>0</v>
      </c>
      <c r="Q58" s="288">
        <v>0</v>
      </c>
      <c r="R58" s="290">
        <v>0</v>
      </c>
      <c r="S58"/>
      <c r="T58"/>
      <c r="U58"/>
      <c r="V58"/>
    </row>
    <row r="59" spans="1:22">
      <c r="A59" s="285"/>
      <c r="B59" s="595" t="s">
        <v>586</v>
      </c>
      <c r="C59" s="596">
        <v>0</v>
      </c>
      <c r="D59" s="597">
        <v>0</v>
      </c>
      <c r="E59" s="597">
        <v>1.2157043513676722E-2</v>
      </c>
      <c r="F59" s="597">
        <v>0</v>
      </c>
      <c r="G59" s="597">
        <v>0</v>
      </c>
      <c r="H59" s="597">
        <v>0</v>
      </c>
      <c r="I59" s="597">
        <v>0</v>
      </c>
      <c r="J59" s="598">
        <v>3.612334782392845E-3</v>
      </c>
      <c r="K59" s="596">
        <v>0</v>
      </c>
      <c r="L59" s="597">
        <v>0</v>
      </c>
      <c r="M59" s="597">
        <v>0</v>
      </c>
      <c r="N59" s="597">
        <v>-1.4670995588431627E-2</v>
      </c>
      <c r="O59" s="596">
        <v>-8.1982332807280026E-3</v>
      </c>
      <c r="P59" s="599">
        <v>0</v>
      </c>
      <c r="Q59" s="597">
        <v>0</v>
      </c>
      <c r="R59" s="600">
        <v>0</v>
      </c>
      <c r="S59"/>
      <c r="T59"/>
      <c r="U59"/>
      <c r="V59"/>
    </row>
    <row r="60" spans="1:22">
      <c r="A60" s="285"/>
      <c r="B60" s="264" t="s">
        <v>587</v>
      </c>
      <c r="C60" s="281">
        <v>0.77566729427400594</v>
      </c>
      <c r="D60" s="282">
        <v>0</v>
      </c>
      <c r="E60" s="282">
        <v>0.57050364239973572</v>
      </c>
      <c r="F60" s="282">
        <v>0.65706203854636114</v>
      </c>
      <c r="G60" s="282">
        <v>0.44769874476987448</v>
      </c>
      <c r="H60" s="282">
        <v>0.85250338294993233</v>
      </c>
      <c r="I60" s="282">
        <v>0</v>
      </c>
      <c r="J60" s="283">
        <v>0.63921047881803883</v>
      </c>
      <c r="K60" s="281">
        <v>0</v>
      </c>
      <c r="L60" s="282">
        <v>0</v>
      </c>
      <c r="M60" s="282">
        <v>0</v>
      </c>
      <c r="N60" s="282">
        <v>0</v>
      </c>
      <c r="O60" s="281">
        <v>0</v>
      </c>
      <c r="P60" s="281">
        <v>0</v>
      </c>
      <c r="Q60" s="282">
        <v>0</v>
      </c>
      <c r="R60" s="284">
        <v>0</v>
      </c>
      <c r="S60"/>
      <c r="T60"/>
      <c r="U60"/>
      <c r="V60"/>
    </row>
    <row r="61" spans="1:22">
      <c r="A61" s="285"/>
      <c r="B61" s="286" t="s">
        <v>588</v>
      </c>
      <c r="C61" s="287">
        <v>0.75414108806096525</v>
      </c>
      <c r="D61" s="288">
        <v>0</v>
      </c>
      <c r="E61" s="288">
        <v>0.47743454033563726</v>
      </c>
      <c r="F61" s="288">
        <v>0.62822152272280152</v>
      </c>
      <c r="G61" s="288">
        <v>0.37726973374729511</v>
      </c>
      <c r="H61" s="288">
        <v>0.8044090056285178</v>
      </c>
      <c r="I61" s="288">
        <v>0</v>
      </c>
      <c r="J61" s="289">
        <v>0.56739715171788441</v>
      </c>
      <c r="K61" s="287">
        <v>0</v>
      </c>
      <c r="L61" s="288">
        <v>0</v>
      </c>
      <c r="M61" s="288">
        <v>0</v>
      </c>
      <c r="N61" s="288">
        <v>0</v>
      </c>
      <c r="O61" s="287">
        <v>0</v>
      </c>
      <c r="P61" s="287">
        <v>0</v>
      </c>
      <c r="Q61" s="288">
        <v>0</v>
      </c>
      <c r="R61" s="290">
        <v>0</v>
      </c>
      <c r="S61"/>
      <c r="T61"/>
      <c r="U61"/>
      <c r="V61"/>
    </row>
    <row r="62" spans="1:22">
      <c r="A62" s="285"/>
      <c r="B62" s="595" t="s">
        <v>589</v>
      </c>
      <c r="C62" s="596">
        <v>-2.1526206213040688</v>
      </c>
      <c r="D62" s="597">
        <v>0</v>
      </c>
      <c r="E62" s="597">
        <v>-9.3069102064098459</v>
      </c>
      <c r="F62" s="597">
        <v>-2.884051582355962</v>
      </c>
      <c r="G62" s="597">
        <v>-7.0429011022579369</v>
      </c>
      <c r="H62" s="597">
        <v>-4.8094377321414523</v>
      </c>
      <c r="I62" s="597">
        <v>0</v>
      </c>
      <c r="J62" s="598">
        <v>-7.1813327100154423</v>
      </c>
      <c r="K62" s="596">
        <v>0</v>
      </c>
      <c r="L62" s="597">
        <v>0</v>
      </c>
      <c r="M62" s="597">
        <v>0</v>
      </c>
      <c r="N62" s="597">
        <v>0</v>
      </c>
      <c r="O62" s="596">
        <v>0</v>
      </c>
      <c r="P62" s="599">
        <v>0</v>
      </c>
      <c r="Q62" s="597">
        <v>0</v>
      </c>
      <c r="R62" s="600">
        <v>0</v>
      </c>
      <c r="S62"/>
      <c r="T62"/>
      <c r="U62"/>
      <c r="V62"/>
    </row>
    <row r="63" spans="1:22">
      <c r="A63" s="285"/>
      <c r="B63" s="264" t="s">
        <v>590</v>
      </c>
      <c r="C63" s="281">
        <v>4.3291062133126591E-2</v>
      </c>
      <c r="D63" s="282">
        <v>0</v>
      </c>
      <c r="E63" s="282">
        <v>0.11582516481268783</v>
      </c>
      <c r="F63" s="282">
        <v>0.1899510979000863</v>
      </c>
      <c r="G63" s="282">
        <v>2.452077454510071E-2</v>
      </c>
      <c r="H63" s="282">
        <v>0</v>
      </c>
      <c r="I63" s="282">
        <v>0</v>
      </c>
      <c r="J63" s="283">
        <v>9.4818176348743871E-2</v>
      </c>
      <c r="K63" s="281">
        <v>0</v>
      </c>
      <c r="L63" s="282">
        <v>0</v>
      </c>
      <c r="M63" s="282">
        <v>0</v>
      </c>
      <c r="N63" s="282">
        <v>0</v>
      </c>
      <c r="O63" s="281">
        <v>0</v>
      </c>
      <c r="P63" s="281">
        <v>0</v>
      </c>
      <c r="Q63" s="282">
        <v>0</v>
      </c>
      <c r="R63" s="284">
        <v>0</v>
      </c>
      <c r="S63"/>
      <c r="T63"/>
      <c r="U63"/>
      <c r="V63"/>
    </row>
    <row r="64" spans="1:22">
      <c r="A64" s="285"/>
      <c r="B64" s="286" t="s">
        <v>591</v>
      </c>
      <c r="C64" s="287">
        <v>4.6517781541066894E-2</v>
      </c>
      <c r="D64" s="288">
        <v>0</v>
      </c>
      <c r="E64" s="288">
        <v>9.9930427771673047E-2</v>
      </c>
      <c r="F64" s="288">
        <v>0.11031870942356876</v>
      </c>
      <c r="G64" s="288">
        <v>2.248565246025026E-2</v>
      </c>
      <c r="H64" s="288">
        <v>0</v>
      </c>
      <c r="I64" s="288">
        <v>0</v>
      </c>
      <c r="J64" s="289">
        <v>8.1406158324253075E-2</v>
      </c>
      <c r="K64" s="287">
        <v>0</v>
      </c>
      <c r="L64" s="288">
        <v>0</v>
      </c>
      <c r="M64" s="288">
        <v>0</v>
      </c>
      <c r="N64" s="288">
        <v>0</v>
      </c>
      <c r="O64" s="287">
        <v>0</v>
      </c>
      <c r="P64" s="287">
        <v>0</v>
      </c>
      <c r="Q64" s="288">
        <v>0</v>
      </c>
      <c r="R64" s="290">
        <v>0</v>
      </c>
      <c r="S64"/>
      <c r="T64"/>
      <c r="U64"/>
      <c r="V64"/>
    </row>
    <row r="65" spans="1:22">
      <c r="A65" s="285"/>
      <c r="B65" s="595" t="s">
        <v>592</v>
      </c>
      <c r="C65" s="596">
        <v>0.32267194079403028</v>
      </c>
      <c r="D65" s="597">
        <v>0</v>
      </c>
      <c r="E65" s="597">
        <v>-1.5894737041014781</v>
      </c>
      <c r="F65" s="597">
        <v>-7.9632388476517528</v>
      </c>
      <c r="G65" s="597">
        <v>-0.20351220848504498</v>
      </c>
      <c r="H65" s="597">
        <v>0</v>
      </c>
      <c r="I65" s="597">
        <v>0</v>
      </c>
      <c r="J65" s="598">
        <v>-1.3412018024490795</v>
      </c>
      <c r="K65" s="596">
        <v>0</v>
      </c>
      <c r="L65" s="597">
        <v>0</v>
      </c>
      <c r="M65" s="597">
        <v>0</v>
      </c>
      <c r="N65" s="597">
        <v>0</v>
      </c>
      <c r="O65" s="596">
        <v>0</v>
      </c>
      <c r="P65" s="599">
        <v>0</v>
      </c>
      <c r="Q65" s="597">
        <v>0</v>
      </c>
      <c r="R65" s="600">
        <v>0</v>
      </c>
      <c r="S65"/>
      <c r="T65"/>
      <c r="U65"/>
      <c r="V65"/>
    </row>
    <row r="66" spans="1:22">
      <c r="A66" s="285"/>
      <c r="B66" s="264" t="s">
        <v>593</v>
      </c>
      <c r="C66" s="281">
        <v>0.15004430169453981</v>
      </c>
      <c r="D66" s="282">
        <v>0</v>
      </c>
      <c r="E66" s="282">
        <v>0.24478814292682161</v>
      </c>
      <c r="F66" s="282">
        <v>0.15226771502540992</v>
      </c>
      <c r="G66" s="282">
        <v>0.52778048068502481</v>
      </c>
      <c r="H66" s="282">
        <v>0</v>
      </c>
      <c r="I66" s="282">
        <v>0</v>
      </c>
      <c r="J66" s="283">
        <v>0.21725154492088458</v>
      </c>
      <c r="K66" s="281">
        <v>0</v>
      </c>
      <c r="L66" s="282">
        <v>0</v>
      </c>
      <c r="M66" s="282">
        <v>0</v>
      </c>
      <c r="N66" s="282">
        <v>0</v>
      </c>
      <c r="O66" s="281">
        <v>0</v>
      </c>
      <c r="P66" s="281">
        <v>0</v>
      </c>
      <c r="Q66" s="282">
        <v>0</v>
      </c>
      <c r="R66" s="284">
        <v>0</v>
      </c>
      <c r="S66"/>
      <c r="T66"/>
      <c r="U66"/>
      <c r="V66"/>
    </row>
    <row r="67" spans="1:22">
      <c r="A67" s="285"/>
      <c r="B67" s="286" t="s">
        <v>594</v>
      </c>
      <c r="C67" s="287">
        <v>0.15056096528365792</v>
      </c>
      <c r="D67" s="288">
        <v>0</v>
      </c>
      <c r="E67" s="288">
        <v>0.39211428051262376</v>
      </c>
      <c r="F67" s="288">
        <v>0.23844186504033052</v>
      </c>
      <c r="G67" s="288">
        <v>0.60024461379245464</v>
      </c>
      <c r="H67" s="288">
        <v>0</v>
      </c>
      <c r="I67" s="288">
        <v>0</v>
      </c>
      <c r="J67" s="289">
        <v>0.31589414570586039</v>
      </c>
      <c r="K67" s="287">
        <v>0</v>
      </c>
      <c r="L67" s="288">
        <v>0</v>
      </c>
      <c r="M67" s="288">
        <v>0</v>
      </c>
      <c r="N67" s="288">
        <v>0</v>
      </c>
      <c r="O67" s="287">
        <v>0</v>
      </c>
      <c r="P67" s="287">
        <v>0</v>
      </c>
      <c r="Q67" s="288">
        <v>0</v>
      </c>
      <c r="R67" s="290">
        <v>0</v>
      </c>
      <c r="S67"/>
      <c r="T67"/>
      <c r="U67"/>
      <c r="V67"/>
    </row>
    <row r="68" spans="1:22">
      <c r="A68" s="285"/>
      <c r="B68" s="595" t="s">
        <v>595</v>
      </c>
      <c r="C68" s="596">
        <v>5.1666358911811594E-2</v>
      </c>
      <c r="D68" s="597">
        <v>0</v>
      </c>
      <c r="E68" s="597">
        <v>14.732613758580214</v>
      </c>
      <c r="F68" s="597">
        <v>8.6174150014920592</v>
      </c>
      <c r="G68" s="597">
        <v>7.2464133107429829</v>
      </c>
      <c r="H68" s="597">
        <v>0</v>
      </c>
      <c r="I68" s="597">
        <v>0</v>
      </c>
      <c r="J68" s="598">
        <v>9.8642600784975798</v>
      </c>
      <c r="K68" s="596">
        <v>0</v>
      </c>
      <c r="L68" s="597">
        <v>0</v>
      </c>
      <c r="M68" s="597">
        <v>0</v>
      </c>
      <c r="N68" s="597">
        <v>0</v>
      </c>
      <c r="O68" s="596">
        <v>0</v>
      </c>
      <c r="P68" s="599">
        <v>0</v>
      </c>
      <c r="Q68" s="597">
        <v>0</v>
      </c>
      <c r="R68" s="600">
        <v>0</v>
      </c>
      <c r="S68"/>
      <c r="T68"/>
      <c r="U68"/>
      <c r="V68"/>
    </row>
    <row r="69" spans="1:22">
      <c r="A69" s="285"/>
      <c r="B69" s="264" t="s">
        <v>596</v>
      </c>
      <c r="C69" s="281">
        <v>1.7443792225052609E-3</v>
      </c>
      <c r="D69" s="282">
        <v>0</v>
      </c>
      <c r="E69" s="282">
        <v>3.516528470506789E-3</v>
      </c>
      <c r="F69" s="282">
        <v>7.1914852814267908E-4</v>
      </c>
      <c r="G69" s="282">
        <v>0</v>
      </c>
      <c r="H69" s="282">
        <v>0.14749661705006767</v>
      </c>
      <c r="I69" s="282">
        <v>0</v>
      </c>
      <c r="J69" s="283">
        <v>3.9321352138823708E-3</v>
      </c>
      <c r="K69" s="281">
        <v>0</v>
      </c>
      <c r="L69" s="282">
        <v>0</v>
      </c>
      <c r="M69" s="282">
        <v>0</v>
      </c>
      <c r="N69" s="282">
        <v>0</v>
      </c>
      <c r="O69" s="281">
        <v>0</v>
      </c>
      <c r="P69" s="281">
        <v>0</v>
      </c>
      <c r="Q69" s="282">
        <v>0</v>
      </c>
      <c r="R69" s="284">
        <v>0</v>
      </c>
      <c r="S69"/>
      <c r="T69"/>
      <c r="U69"/>
      <c r="V69"/>
    </row>
    <row r="70" spans="1:22">
      <c r="A70" s="285"/>
      <c r="B70" s="286" t="s">
        <v>597</v>
      </c>
      <c r="C70" s="287">
        <v>2.3814563928873837E-4</v>
      </c>
      <c r="D70" s="288">
        <v>0</v>
      </c>
      <c r="E70" s="288">
        <v>2.9838033251623895E-2</v>
      </c>
      <c r="F70" s="288">
        <v>2.1985048199881958E-2</v>
      </c>
      <c r="G70" s="288">
        <v>0</v>
      </c>
      <c r="H70" s="288">
        <v>0.19559099437148217</v>
      </c>
      <c r="I70" s="288">
        <v>0</v>
      </c>
      <c r="J70" s="289">
        <v>2.0843969307436164E-2</v>
      </c>
      <c r="K70" s="287">
        <v>0</v>
      </c>
      <c r="L70" s="288">
        <v>0</v>
      </c>
      <c r="M70" s="288">
        <v>0</v>
      </c>
      <c r="N70" s="288">
        <v>0</v>
      </c>
      <c r="O70" s="287">
        <v>0</v>
      </c>
      <c r="P70" s="287">
        <v>0</v>
      </c>
      <c r="Q70" s="288">
        <v>0</v>
      </c>
      <c r="R70" s="290">
        <v>0</v>
      </c>
      <c r="S70"/>
      <c r="T70"/>
      <c r="U70"/>
      <c r="V70"/>
    </row>
    <row r="71" spans="1:22">
      <c r="A71" s="285"/>
      <c r="B71" s="595" t="s">
        <v>598</v>
      </c>
      <c r="C71" s="596">
        <v>-0.15062335832165225</v>
      </c>
      <c r="D71" s="597">
        <v>0</v>
      </c>
      <c r="E71" s="597">
        <v>2.6321504781117109</v>
      </c>
      <c r="F71" s="597">
        <v>2.1265899671739281</v>
      </c>
      <c r="G71" s="597">
        <v>0</v>
      </c>
      <c r="H71" s="597">
        <v>4.8094377321414497</v>
      </c>
      <c r="I71" s="597">
        <v>0</v>
      </c>
      <c r="J71" s="598">
        <v>1.6911834093553795</v>
      </c>
      <c r="K71" s="596">
        <v>0</v>
      </c>
      <c r="L71" s="597">
        <v>0</v>
      </c>
      <c r="M71" s="597">
        <v>0</v>
      </c>
      <c r="N71" s="597">
        <v>0</v>
      </c>
      <c r="O71" s="596">
        <v>0</v>
      </c>
      <c r="P71" s="599">
        <v>0</v>
      </c>
      <c r="Q71" s="597">
        <v>0</v>
      </c>
      <c r="R71" s="600">
        <v>0</v>
      </c>
      <c r="S71"/>
      <c r="T71"/>
      <c r="U71"/>
      <c r="V71"/>
    </row>
    <row r="72" spans="1:22">
      <c r="A72" s="285"/>
      <c r="B72" s="264" t="s">
        <v>599</v>
      </c>
      <c r="C72" s="281">
        <v>2.925296267582235E-2</v>
      </c>
      <c r="D72" s="282">
        <v>0</v>
      </c>
      <c r="E72" s="282">
        <v>6.4965306732539294E-2</v>
      </c>
      <c r="F72" s="282">
        <v>0</v>
      </c>
      <c r="G72" s="282">
        <v>0</v>
      </c>
      <c r="H72" s="282">
        <v>0</v>
      </c>
      <c r="I72" s="282">
        <v>0</v>
      </c>
      <c r="J72" s="283">
        <v>4.456849650620117E-2</v>
      </c>
      <c r="K72" s="281">
        <v>0</v>
      </c>
      <c r="L72" s="282">
        <v>0</v>
      </c>
      <c r="M72" s="282">
        <v>0</v>
      </c>
      <c r="N72" s="282">
        <v>0</v>
      </c>
      <c r="O72" s="281">
        <v>0</v>
      </c>
      <c r="P72" s="281">
        <v>0</v>
      </c>
      <c r="Q72" s="282">
        <v>0</v>
      </c>
      <c r="R72" s="284">
        <v>0</v>
      </c>
      <c r="S72"/>
      <c r="T72"/>
      <c r="U72"/>
      <c r="V72"/>
    </row>
    <row r="73" spans="1:22">
      <c r="A73" s="285"/>
      <c r="B73" s="286" t="s">
        <v>600</v>
      </c>
      <c r="C73" s="287">
        <v>4.8542019475021167E-2</v>
      </c>
      <c r="D73" s="288">
        <v>0</v>
      </c>
      <c r="E73" s="288">
        <v>6.8271812844203719E-4</v>
      </c>
      <c r="F73" s="288">
        <v>1.0328546134172733E-3</v>
      </c>
      <c r="G73" s="288">
        <v>0</v>
      </c>
      <c r="H73" s="288">
        <v>0</v>
      </c>
      <c r="I73" s="288">
        <v>0</v>
      </c>
      <c r="J73" s="289">
        <v>1.4458574944565938E-2</v>
      </c>
      <c r="K73" s="287">
        <v>0</v>
      </c>
      <c r="L73" s="288">
        <v>0</v>
      </c>
      <c r="M73" s="288">
        <v>0</v>
      </c>
      <c r="N73" s="288">
        <v>0</v>
      </c>
      <c r="O73" s="287">
        <v>0</v>
      </c>
      <c r="P73" s="287">
        <v>0</v>
      </c>
      <c r="Q73" s="288">
        <v>0</v>
      </c>
      <c r="R73" s="290">
        <v>0</v>
      </c>
      <c r="S73"/>
      <c r="T73"/>
      <c r="U73"/>
      <c r="V73"/>
    </row>
    <row r="74" spans="1:22">
      <c r="A74" s="285"/>
      <c r="B74" s="595" t="s">
        <v>601</v>
      </c>
      <c r="C74" s="596">
        <v>1.9289056799198816</v>
      </c>
      <c r="D74" s="597">
        <v>0</v>
      </c>
      <c r="E74" s="597">
        <v>-6.4282588604097262</v>
      </c>
      <c r="F74" s="597">
        <v>0</v>
      </c>
      <c r="G74" s="597">
        <v>0</v>
      </c>
      <c r="H74" s="597">
        <v>0</v>
      </c>
      <c r="I74" s="597">
        <v>0</v>
      </c>
      <c r="J74" s="598">
        <v>-3.0109921561635233</v>
      </c>
      <c r="K74" s="596">
        <v>0</v>
      </c>
      <c r="L74" s="597">
        <v>0</v>
      </c>
      <c r="M74" s="597">
        <v>0</v>
      </c>
      <c r="N74" s="597">
        <v>0</v>
      </c>
      <c r="O74" s="596">
        <v>0</v>
      </c>
      <c r="P74" s="599">
        <v>0</v>
      </c>
      <c r="Q74" s="597">
        <v>0</v>
      </c>
      <c r="R74" s="600">
        <v>0</v>
      </c>
      <c r="S74"/>
      <c r="T74"/>
      <c r="U74"/>
      <c r="V74"/>
    </row>
    <row r="75" spans="1:22">
      <c r="A75" s="285"/>
      <c r="B75" s="264" t="s">
        <v>602</v>
      </c>
      <c r="C75" s="281">
        <v>0</v>
      </c>
      <c r="D75" s="282">
        <v>0</v>
      </c>
      <c r="E75" s="282">
        <v>4.0121465770882832E-4</v>
      </c>
      <c r="F75" s="282">
        <v>0</v>
      </c>
      <c r="G75" s="282">
        <v>0</v>
      </c>
      <c r="H75" s="282">
        <v>0</v>
      </c>
      <c r="I75" s="282">
        <v>0</v>
      </c>
      <c r="J75" s="283">
        <v>2.1916819224918134E-4</v>
      </c>
      <c r="K75" s="281">
        <v>0</v>
      </c>
      <c r="L75" s="282">
        <v>0</v>
      </c>
      <c r="M75" s="282">
        <v>0</v>
      </c>
      <c r="N75" s="282">
        <v>0</v>
      </c>
      <c r="O75" s="281">
        <v>0</v>
      </c>
      <c r="P75" s="281">
        <v>0</v>
      </c>
      <c r="Q75" s="282">
        <v>0</v>
      </c>
      <c r="R75" s="284">
        <v>0</v>
      </c>
      <c r="S75"/>
      <c r="T75"/>
      <c r="U75"/>
      <c r="V75"/>
    </row>
    <row r="76" spans="1:22">
      <c r="A76" s="285"/>
      <c r="B76" s="286" t="s">
        <v>603</v>
      </c>
      <c r="C76" s="287">
        <v>0</v>
      </c>
      <c r="D76" s="288">
        <v>0</v>
      </c>
      <c r="E76" s="288">
        <v>0</v>
      </c>
      <c r="F76" s="288">
        <v>0</v>
      </c>
      <c r="G76" s="288">
        <v>0</v>
      </c>
      <c r="H76" s="288">
        <v>0</v>
      </c>
      <c r="I76" s="288">
        <v>0</v>
      </c>
      <c r="J76" s="289">
        <v>0</v>
      </c>
      <c r="K76" s="287">
        <v>0</v>
      </c>
      <c r="L76" s="288">
        <v>0</v>
      </c>
      <c r="M76" s="288">
        <v>0</v>
      </c>
      <c r="N76" s="288">
        <v>0</v>
      </c>
      <c r="O76" s="287">
        <v>0</v>
      </c>
      <c r="P76" s="287">
        <v>0</v>
      </c>
      <c r="Q76" s="288">
        <v>0</v>
      </c>
      <c r="R76" s="290">
        <v>0</v>
      </c>
      <c r="S76"/>
      <c r="T76"/>
      <c r="U76"/>
      <c r="V76"/>
    </row>
    <row r="77" spans="1:22">
      <c r="A77" s="292"/>
      <c r="B77" s="595" t="s">
        <v>604</v>
      </c>
      <c r="C77" s="596">
        <v>0</v>
      </c>
      <c r="D77" s="597">
        <v>0</v>
      </c>
      <c r="E77" s="597">
        <v>-4.0121465770882832E-2</v>
      </c>
      <c r="F77" s="597">
        <v>0</v>
      </c>
      <c r="G77" s="597">
        <v>0</v>
      </c>
      <c r="H77" s="597">
        <v>0</v>
      </c>
      <c r="I77" s="597">
        <v>0</v>
      </c>
      <c r="J77" s="598">
        <v>-2.1916819224918133E-2</v>
      </c>
      <c r="K77" s="596">
        <v>0</v>
      </c>
      <c r="L77" s="597">
        <v>0</v>
      </c>
      <c r="M77" s="597">
        <v>0</v>
      </c>
      <c r="N77" s="597">
        <v>0</v>
      </c>
      <c r="O77" s="596">
        <v>0</v>
      </c>
      <c r="P77" s="599">
        <v>0</v>
      </c>
      <c r="Q77" s="597">
        <v>0</v>
      </c>
      <c r="R77" s="600">
        <v>0</v>
      </c>
      <c r="S77"/>
      <c r="T77"/>
      <c r="U77"/>
      <c r="V77"/>
    </row>
    <row r="78" spans="1:22">
      <c r="A78" s="280" t="s">
        <v>114</v>
      </c>
      <c r="B78" s="264" t="s">
        <v>569</v>
      </c>
      <c r="C78" s="281">
        <v>0</v>
      </c>
      <c r="D78" s="282">
        <v>0</v>
      </c>
      <c r="E78" s="282">
        <v>0</v>
      </c>
      <c r="F78" s="282">
        <v>0</v>
      </c>
      <c r="G78" s="282">
        <v>0</v>
      </c>
      <c r="H78" s="282">
        <v>0</v>
      </c>
      <c r="I78" s="282">
        <v>0</v>
      </c>
      <c r="J78" s="283">
        <v>0</v>
      </c>
      <c r="K78" s="281">
        <v>0</v>
      </c>
      <c r="L78" s="282">
        <v>0</v>
      </c>
      <c r="M78" s="282">
        <v>0</v>
      </c>
      <c r="N78" s="282">
        <v>0</v>
      </c>
      <c r="O78" s="281">
        <v>0</v>
      </c>
      <c r="P78" s="281">
        <v>0</v>
      </c>
      <c r="Q78" s="282">
        <v>0</v>
      </c>
      <c r="R78" s="284">
        <v>0</v>
      </c>
      <c r="S78"/>
      <c r="T78"/>
      <c r="U78"/>
      <c r="V78"/>
    </row>
    <row r="79" spans="1:22">
      <c r="A79" s="285"/>
      <c r="B79" s="286" t="s">
        <v>570</v>
      </c>
      <c r="C79" s="287">
        <v>0</v>
      </c>
      <c r="D79" s="288">
        <v>0</v>
      </c>
      <c r="E79" s="288">
        <v>0</v>
      </c>
      <c r="F79" s="288">
        <v>0</v>
      </c>
      <c r="G79" s="288">
        <v>0</v>
      </c>
      <c r="H79" s="288">
        <v>0</v>
      </c>
      <c r="I79" s="288">
        <v>0</v>
      </c>
      <c r="J79" s="289">
        <v>0</v>
      </c>
      <c r="K79" s="287">
        <v>0</v>
      </c>
      <c r="L79" s="288">
        <v>0</v>
      </c>
      <c r="M79" s="288">
        <v>0</v>
      </c>
      <c r="N79" s="288">
        <v>0</v>
      </c>
      <c r="O79" s="287">
        <v>0</v>
      </c>
      <c r="P79" s="287">
        <v>0</v>
      </c>
      <c r="Q79" s="288">
        <v>0</v>
      </c>
      <c r="R79" s="290">
        <v>0</v>
      </c>
      <c r="S79"/>
      <c r="T79"/>
      <c r="U79"/>
      <c r="V79"/>
    </row>
    <row r="80" spans="1:22">
      <c r="A80" s="285"/>
      <c r="B80" s="595" t="s">
        <v>571</v>
      </c>
      <c r="C80" s="596">
        <v>0</v>
      </c>
      <c r="D80" s="597">
        <v>0</v>
      </c>
      <c r="E80" s="597">
        <v>0</v>
      </c>
      <c r="F80" s="597">
        <v>0</v>
      </c>
      <c r="G80" s="597">
        <v>0</v>
      </c>
      <c r="H80" s="597">
        <v>0</v>
      </c>
      <c r="I80" s="597">
        <v>0</v>
      </c>
      <c r="J80" s="598">
        <v>0</v>
      </c>
      <c r="K80" s="596">
        <v>0</v>
      </c>
      <c r="L80" s="597">
        <v>0</v>
      </c>
      <c r="M80" s="597">
        <v>0</v>
      </c>
      <c r="N80" s="597">
        <v>0</v>
      </c>
      <c r="O80" s="596">
        <v>0</v>
      </c>
      <c r="P80" s="599">
        <v>0</v>
      </c>
      <c r="Q80" s="597">
        <v>0</v>
      </c>
      <c r="R80" s="600">
        <v>0</v>
      </c>
      <c r="S80"/>
      <c r="T80"/>
      <c r="U80"/>
      <c r="V80"/>
    </row>
    <row r="81" spans="1:22">
      <c r="A81" s="285"/>
      <c r="B81" s="264" t="s">
        <v>572</v>
      </c>
      <c r="C81" s="281">
        <v>0</v>
      </c>
      <c r="D81" s="282">
        <v>0</v>
      </c>
      <c r="E81" s="282">
        <v>0</v>
      </c>
      <c r="F81" s="282">
        <v>0</v>
      </c>
      <c r="G81" s="282">
        <v>0</v>
      </c>
      <c r="H81" s="282">
        <v>0</v>
      </c>
      <c r="I81" s="282">
        <v>0</v>
      </c>
      <c r="J81" s="283">
        <v>0</v>
      </c>
      <c r="K81" s="281">
        <v>0</v>
      </c>
      <c r="L81" s="282">
        <v>0</v>
      </c>
      <c r="M81" s="282">
        <v>0</v>
      </c>
      <c r="N81" s="282">
        <v>0</v>
      </c>
      <c r="O81" s="281">
        <v>0</v>
      </c>
      <c r="P81" s="281">
        <v>0</v>
      </c>
      <c r="Q81" s="282">
        <v>0</v>
      </c>
      <c r="R81" s="284">
        <v>0</v>
      </c>
      <c r="S81"/>
      <c r="T81"/>
      <c r="U81"/>
      <c r="V81"/>
    </row>
    <row r="82" spans="1:22">
      <c r="A82" s="285"/>
      <c r="B82" s="286" t="s">
        <v>573</v>
      </c>
      <c r="C82" s="287">
        <v>0</v>
      </c>
      <c r="D82" s="288">
        <v>0</v>
      </c>
      <c r="E82" s="288">
        <v>0</v>
      </c>
      <c r="F82" s="288">
        <v>0</v>
      </c>
      <c r="G82" s="288">
        <v>0</v>
      </c>
      <c r="H82" s="288">
        <v>0</v>
      </c>
      <c r="I82" s="288">
        <v>0</v>
      </c>
      <c r="J82" s="289">
        <v>0</v>
      </c>
      <c r="K82" s="287">
        <v>0</v>
      </c>
      <c r="L82" s="288">
        <v>0</v>
      </c>
      <c r="M82" s="288">
        <v>0</v>
      </c>
      <c r="N82" s="288">
        <v>0</v>
      </c>
      <c r="O82" s="287">
        <v>0</v>
      </c>
      <c r="P82" s="287">
        <v>0</v>
      </c>
      <c r="Q82" s="288">
        <v>0</v>
      </c>
      <c r="R82" s="290">
        <v>0</v>
      </c>
      <c r="S82"/>
      <c r="T82"/>
      <c r="U82"/>
      <c r="V82"/>
    </row>
    <row r="83" spans="1:22">
      <c r="A83" s="285"/>
      <c r="B83" s="595" t="s">
        <v>574</v>
      </c>
      <c r="C83" s="596">
        <v>0</v>
      </c>
      <c r="D83" s="597">
        <v>0</v>
      </c>
      <c r="E83" s="597">
        <v>0</v>
      </c>
      <c r="F83" s="597">
        <v>0</v>
      </c>
      <c r="G83" s="597">
        <v>0</v>
      </c>
      <c r="H83" s="597">
        <v>0</v>
      </c>
      <c r="I83" s="597">
        <v>0</v>
      </c>
      <c r="J83" s="598">
        <v>0</v>
      </c>
      <c r="K83" s="596">
        <v>0</v>
      </c>
      <c r="L83" s="597">
        <v>0</v>
      </c>
      <c r="M83" s="597">
        <v>0</v>
      </c>
      <c r="N83" s="597">
        <v>0</v>
      </c>
      <c r="O83" s="596">
        <v>0</v>
      </c>
      <c r="P83" s="599">
        <v>0</v>
      </c>
      <c r="Q83" s="597">
        <v>0</v>
      </c>
      <c r="R83" s="600">
        <v>0</v>
      </c>
      <c r="S83"/>
      <c r="T83"/>
      <c r="U83"/>
      <c r="V83"/>
    </row>
    <row r="84" spans="1:22">
      <c r="A84" s="285"/>
      <c r="B84" s="264" t="s">
        <v>575</v>
      </c>
      <c r="C84" s="281">
        <v>0</v>
      </c>
      <c r="D84" s="282">
        <v>0</v>
      </c>
      <c r="E84" s="282">
        <v>0</v>
      </c>
      <c r="F84" s="282">
        <v>0</v>
      </c>
      <c r="G84" s="282">
        <v>0</v>
      </c>
      <c r="H84" s="282">
        <v>0</v>
      </c>
      <c r="I84" s="282">
        <v>0</v>
      </c>
      <c r="J84" s="283">
        <v>0</v>
      </c>
      <c r="K84" s="281">
        <v>0</v>
      </c>
      <c r="L84" s="282">
        <v>0</v>
      </c>
      <c r="M84" s="282">
        <v>0</v>
      </c>
      <c r="N84" s="282">
        <v>0</v>
      </c>
      <c r="O84" s="281">
        <v>0</v>
      </c>
      <c r="P84" s="281">
        <v>0</v>
      </c>
      <c r="Q84" s="282">
        <v>0</v>
      </c>
      <c r="R84" s="284">
        <v>0</v>
      </c>
      <c r="S84"/>
      <c r="T84"/>
      <c r="U84"/>
      <c r="V84"/>
    </row>
    <row r="85" spans="1:22">
      <c r="A85" s="285"/>
      <c r="B85" s="286" t="s">
        <v>576</v>
      </c>
      <c r="C85" s="287">
        <v>0</v>
      </c>
      <c r="D85" s="288">
        <v>0</v>
      </c>
      <c r="E85" s="288">
        <v>0</v>
      </c>
      <c r="F85" s="288">
        <v>0</v>
      </c>
      <c r="G85" s="288">
        <v>0</v>
      </c>
      <c r="H85" s="288">
        <v>0</v>
      </c>
      <c r="I85" s="288">
        <v>0</v>
      </c>
      <c r="J85" s="289">
        <v>0</v>
      </c>
      <c r="K85" s="287">
        <v>0</v>
      </c>
      <c r="L85" s="288">
        <v>0</v>
      </c>
      <c r="M85" s="288">
        <v>0</v>
      </c>
      <c r="N85" s="288">
        <v>0</v>
      </c>
      <c r="O85" s="287">
        <v>0</v>
      </c>
      <c r="P85" s="287">
        <v>0</v>
      </c>
      <c r="Q85" s="288">
        <v>0</v>
      </c>
      <c r="R85" s="290">
        <v>0</v>
      </c>
      <c r="S85"/>
      <c r="T85"/>
      <c r="U85"/>
      <c r="V85"/>
    </row>
    <row r="86" spans="1:22">
      <c r="A86" s="285"/>
      <c r="B86" s="595" t="s">
        <v>577</v>
      </c>
      <c r="C86" s="596">
        <v>0</v>
      </c>
      <c r="D86" s="597">
        <v>0</v>
      </c>
      <c r="E86" s="597">
        <v>0</v>
      </c>
      <c r="F86" s="597">
        <v>0</v>
      </c>
      <c r="G86" s="597">
        <v>0</v>
      </c>
      <c r="H86" s="597">
        <v>0</v>
      </c>
      <c r="I86" s="597">
        <v>0</v>
      </c>
      <c r="J86" s="598">
        <v>0</v>
      </c>
      <c r="K86" s="596">
        <v>0</v>
      </c>
      <c r="L86" s="597">
        <v>0</v>
      </c>
      <c r="M86" s="597">
        <v>0</v>
      </c>
      <c r="N86" s="597">
        <v>0</v>
      </c>
      <c r="O86" s="596">
        <v>0</v>
      </c>
      <c r="P86" s="599">
        <v>0</v>
      </c>
      <c r="Q86" s="597">
        <v>0</v>
      </c>
      <c r="R86" s="600">
        <v>0</v>
      </c>
      <c r="S86"/>
      <c r="T86"/>
      <c r="U86"/>
      <c r="V86"/>
    </row>
    <row r="87" spans="1:22">
      <c r="A87" s="285"/>
      <c r="B87" s="264" t="s">
        <v>578</v>
      </c>
      <c r="C87" s="281">
        <v>0</v>
      </c>
      <c r="D87" s="282">
        <v>0</v>
      </c>
      <c r="E87" s="282">
        <v>0</v>
      </c>
      <c r="F87" s="282">
        <v>0</v>
      </c>
      <c r="G87" s="282">
        <v>0</v>
      </c>
      <c r="H87" s="282">
        <v>0</v>
      </c>
      <c r="I87" s="282">
        <v>0</v>
      </c>
      <c r="J87" s="283">
        <v>0</v>
      </c>
      <c r="K87" s="281">
        <v>0</v>
      </c>
      <c r="L87" s="282">
        <v>0</v>
      </c>
      <c r="M87" s="282">
        <v>0</v>
      </c>
      <c r="N87" s="282">
        <v>0</v>
      </c>
      <c r="O87" s="281">
        <v>0</v>
      </c>
      <c r="P87" s="281">
        <v>0</v>
      </c>
      <c r="Q87" s="282">
        <v>0</v>
      </c>
      <c r="R87" s="284">
        <v>0</v>
      </c>
      <c r="S87"/>
      <c r="T87"/>
      <c r="U87"/>
      <c r="V87"/>
    </row>
    <row r="88" spans="1:22">
      <c r="A88" s="285"/>
      <c r="B88" s="286" t="s">
        <v>579</v>
      </c>
      <c r="C88" s="287">
        <v>0</v>
      </c>
      <c r="D88" s="288">
        <v>0</v>
      </c>
      <c r="E88" s="288">
        <v>0</v>
      </c>
      <c r="F88" s="288">
        <v>0</v>
      </c>
      <c r="G88" s="288">
        <v>0</v>
      </c>
      <c r="H88" s="288">
        <v>0</v>
      </c>
      <c r="I88" s="288">
        <v>0</v>
      </c>
      <c r="J88" s="289">
        <v>0</v>
      </c>
      <c r="K88" s="287">
        <v>0</v>
      </c>
      <c r="L88" s="288">
        <v>0</v>
      </c>
      <c r="M88" s="288">
        <v>0</v>
      </c>
      <c r="N88" s="288">
        <v>0</v>
      </c>
      <c r="O88" s="287">
        <v>0</v>
      </c>
      <c r="P88" s="287">
        <v>0</v>
      </c>
      <c r="Q88" s="288">
        <v>0</v>
      </c>
      <c r="R88" s="290">
        <v>0</v>
      </c>
      <c r="S88"/>
      <c r="T88"/>
      <c r="U88"/>
      <c r="V88"/>
    </row>
    <row r="89" spans="1:22">
      <c r="A89" s="285"/>
      <c r="B89" s="595" t="s">
        <v>580</v>
      </c>
      <c r="C89" s="596">
        <v>0</v>
      </c>
      <c r="D89" s="597">
        <v>0</v>
      </c>
      <c r="E89" s="597">
        <v>0</v>
      </c>
      <c r="F89" s="597">
        <v>0</v>
      </c>
      <c r="G89" s="597">
        <v>0</v>
      </c>
      <c r="H89" s="597">
        <v>0</v>
      </c>
      <c r="I89" s="597">
        <v>0</v>
      </c>
      <c r="J89" s="598">
        <v>0</v>
      </c>
      <c r="K89" s="596">
        <v>0</v>
      </c>
      <c r="L89" s="597">
        <v>0</v>
      </c>
      <c r="M89" s="597">
        <v>0</v>
      </c>
      <c r="N89" s="597">
        <v>0</v>
      </c>
      <c r="O89" s="596">
        <v>0</v>
      </c>
      <c r="P89" s="599">
        <v>0</v>
      </c>
      <c r="Q89" s="597">
        <v>0</v>
      </c>
      <c r="R89" s="600">
        <v>0</v>
      </c>
      <c r="S89"/>
      <c r="T89"/>
      <c r="U89"/>
      <c r="V89"/>
    </row>
    <row r="90" spans="1:22">
      <c r="A90" s="285"/>
      <c r="B90" s="264" t="s">
        <v>581</v>
      </c>
      <c r="C90" s="281">
        <v>0</v>
      </c>
      <c r="D90" s="282">
        <v>0</v>
      </c>
      <c r="E90" s="282">
        <v>0</v>
      </c>
      <c r="F90" s="282">
        <v>0</v>
      </c>
      <c r="G90" s="282">
        <v>0</v>
      </c>
      <c r="H90" s="282">
        <v>0</v>
      </c>
      <c r="I90" s="282">
        <v>0</v>
      </c>
      <c r="J90" s="283">
        <v>0</v>
      </c>
      <c r="K90" s="281">
        <v>0</v>
      </c>
      <c r="L90" s="282">
        <v>0</v>
      </c>
      <c r="M90" s="282">
        <v>0</v>
      </c>
      <c r="N90" s="282">
        <v>0</v>
      </c>
      <c r="O90" s="281">
        <v>0</v>
      </c>
      <c r="P90" s="281">
        <v>0</v>
      </c>
      <c r="Q90" s="282">
        <v>0</v>
      </c>
      <c r="R90" s="284">
        <v>0</v>
      </c>
      <c r="S90"/>
      <c r="T90"/>
      <c r="U90"/>
      <c r="V90"/>
    </row>
    <row r="91" spans="1:22">
      <c r="A91" s="285"/>
      <c r="B91" s="286" t="s">
        <v>582</v>
      </c>
      <c r="C91" s="287">
        <v>0</v>
      </c>
      <c r="D91" s="288">
        <v>0</v>
      </c>
      <c r="E91" s="288">
        <v>0</v>
      </c>
      <c r="F91" s="288">
        <v>0</v>
      </c>
      <c r="G91" s="288">
        <v>0</v>
      </c>
      <c r="H91" s="288">
        <v>0</v>
      </c>
      <c r="I91" s="288">
        <v>0</v>
      </c>
      <c r="J91" s="289">
        <v>0</v>
      </c>
      <c r="K91" s="287">
        <v>0</v>
      </c>
      <c r="L91" s="288">
        <v>0</v>
      </c>
      <c r="M91" s="288">
        <v>0</v>
      </c>
      <c r="N91" s="288">
        <v>0</v>
      </c>
      <c r="O91" s="287">
        <v>0</v>
      </c>
      <c r="P91" s="287">
        <v>0</v>
      </c>
      <c r="Q91" s="288">
        <v>0</v>
      </c>
      <c r="R91" s="290">
        <v>0</v>
      </c>
      <c r="S91"/>
      <c r="T91"/>
      <c r="U91"/>
      <c r="V91"/>
    </row>
    <row r="92" spans="1:22">
      <c r="A92" s="285"/>
      <c r="B92" s="595" t="s">
        <v>583</v>
      </c>
      <c r="C92" s="596">
        <v>0</v>
      </c>
      <c r="D92" s="597">
        <v>0</v>
      </c>
      <c r="E92" s="597">
        <v>0</v>
      </c>
      <c r="F92" s="597">
        <v>0</v>
      </c>
      <c r="G92" s="597">
        <v>0</v>
      </c>
      <c r="H92" s="597">
        <v>0</v>
      </c>
      <c r="I92" s="597">
        <v>0</v>
      </c>
      <c r="J92" s="598">
        <v>0</v>
      </c>
      <c r="K92" s="596">
        <v>0</v>
      </c>
      <c r="L92" s="597">
        <v>0</v>
      </c>
      <c r="M92" s="597">
        <v>0</v>
      </c>
      <c r="N92" s="597">
        <v>0</v>
      </c>
      <c r="O92" s="596">
        <v>0</v>
      </c>
      <c r="P92" s="599">
        <v>0</v>
      </c>
      <c r="Q92" s="597">
        <v>0</v>
      </c>
      <c r="R92" s="600">
        <v>0</v>
      </c>
      <c r="S92"/>
      <c r="T92"/>
      <c r="U92"/>
      <c r="V92"/>
    </row>
    <row r="93" spans="1:22">
      <c r="A93" s="285"/>
      <c r="B93" s="264" t="s">
        <v>584</v>
      </c>
      <c r="C93" s="281">
        <v>0</v>
      </c>
      <c r="D93" s="282">
        <v>0</v>
      </c>
      <c r="E93" s="282">
        <v>0</v>
      </c>
      <c r="F93" s="282">
        <v>0</v>
      </c>
      <c r="G93" s="282">
        <v>0</v>
      </c>
      <c r="H93" s="282">
        <v>0</v>
      </c>
      <c r="I93" s="282">
        <v>0</v>
      </c>
      <c r="J93" s="283">
        <v>0</v>
      </c>
      <c r="K93" s="281">
        <v>0</v>
      </c>
      <c r="L93" s="282">
        <v>0</v>
      </c>
      <c r="M93" s="282">
        <v>0</v>
      </c>
      <c r="N93" s="282">
        <v>0</v>
      </c>
      <c r="O93" s="281">
        <v>0</v>
      </c>
      <c r="P93" s="281">
        <v>0</v>
      </c>
      <c r="Q93" s="282">
        <v>0</v>
      </c>
      <c r="R93" s="284">
        <v>0</v>
      </c>
      <c r="S93"/>
      <c r="T93"/>
      <c r="U93"/>
      <c r="V93"/>
    </row>
    <row r="94" spans="1:22">
      <c r="A94" s="285"/>
      <c r="B94" s="286" t="s">
        <v>585</v>
      </c>
      <c r="C94" s="287">
        <v>0</v>
      </c>
      <c r="D94" s="288">
        <v>0</v>
      </c>
      <c r="E94" s="288">
        <v>0</v>
      </c>
      <c r="F94" s="288">
        <v>0</v>
      </c>
      <c r="G94" s="288">
        <v>0</v>
      </c>
      <c r="H94" s="288">
        <v>0</v>
      </c>
      <c r="I94" s="288">
        <v>0</v>
      </c>
      <c r="J94" s="289">
        <v>0</v>
      </c>
      <c r="K94" s="287">
        <v>0</v>
      </c>
      <c r="L94" s="288">
        <v>0</v>
      </c>
      <c r="M94" s="288">
        <v>0</v>
      </c>
      <c r="N94" s="288">
        <v>0</v>
      </c>
      <c r="O94" s="287">
        <v>0</v>
      </c>
      <c r="P94" s="287">
        <v>0</v>
      </c>
      <c r="Q94" s="288">
        <v>0</v>
      </c>
      <c r="R94" s="290">
        <v>0</v>
      </c>
      <c r="S94"/>
      <c r="T94"/>
      <c r="U94"/>
      <c r="V94"/>
    </row>
    <row r="95" spans="1:22">
      <c r="A95" s="285"/>
      <c r="B95" s="595" t="s">
        <v>586</v>
      </c>
      <c r="C95" s="596">
        <v>0</v>
      </c>
      <c r="D95" s="597">
        <v>0</v>
      </c>
      <c r="E95" s="597">
        <v>0</v>
      </c>
      <c r="F95" s="597">
        <v>0</v>
      </c>
      <c r="G95" s="597">
        <v>0</v>
      </c>
      <c r="H95" s="597">
        <v>0</v>
      </c>
      <c r="I95" s="597">
        <v>0</v>
      </c>
      <c r="J95" s="598">
        <v>0</v>
      </c>
      <c r="K95" s="596">
        <v>0</v>
      </c>
      <c r="L95" s="597">
        <v>0</v>
      </c>
      <c r="M95" s="597">
        <v>0</v>
      </c>
      <c r="N95" s="597">
        <v>0</v>
      </c>
      <c r="O95" s="596">
        <v>0</v>
      </c>
      <c r="P95" s="599">
        <v>0</v>
      </c>
      <c r="Q95" s="597">
        <v>0</v>
      </c>
      <c r="R95" s="600">
        <v>0</v>
      </c>
      <c r="S95"/>
      <c r="T95"/>
      <c r="U95"/>
      <c r="V95"/>
    </row>
    <row r="96" spans="1:22">
      <c r="A96" s="285"/>
      <c r="B96" s="264" t="s">
        <v>587</v>
      </c>
      <c r="C96" s="281">
        <v>0</v>
      </c>
      <c r="D96" s="282">
        <v>0</v>
      </c>
      <c r="E96" s="282">
        <v>0</v>
      </c>
      <c r="F96" s="282">
        <v>0</v>
      </c>
      <c r="G96" s="282">
        <v>0</v>
      </c>
      <c r="H96" s="282">
        <v>0</v>
      </c>
      <c r="I96" s="282">
        <v>0</v>
      </c>
      <c r="J96" s="283">
        <v>0</v>
      </c>
      <c r="K96" s="281">
        <v>0</v>
      </c>
      <c r="L96" s="282">
        <v>0</v>
      </c>
      <c r="M96" s="282">
        <v>0</v>
      </c>
      <c r="N96" s="282">
        <v>0</v>
      </c>
      <c r="O96" s="281">
        <v>0</v>
      </c>
      <c r="P96" s="281">
        <v>0</v>
      </c>
      <c r="Q96" s="282">
        <v>0</v>
      </c>
      <c r="R96" s="284">
        <v>0</v>
      </c>
      <c r="S96"/>
      <c r="T96"/>
      <c r="U96"/>
      <c r="V96"/>
    </row>
    <row r="97" spans="1:22">
      <c r="A97" s="285"/>
      <c r="B97" s="286" t="s">
        <v>588</v>
      </c>
      <c r="C97" s="287">
        <v>0</v>
      </c>
      <c r="D97" s="288">
        <v>0</v>
      </c>
      <c r="E97" s="288">
        <v>0</v>
      </c>
      <c r="F97" s="288">
        <v>0</v>
      </c>
      <c r="G97" s="288">
        <v>0</v>
      </c>
      <c r="H97" s="288">
        <v>0</v>
      </c>
      <c r="I97" s="288">
        <v>0</v>
      </c>
      <c r="J97" s="289">
        <v>0</v>
      </c>
      <c r="K97" s="287">
        <v>0</v>
      </c>
      <c r="L97" s="288">
        <v>0</v>
      </c>
      <c r="M97" s="288">
        <v>0</v>
      </c>
      <c r="N97" s="288">
        <v>0</v>
      </c>
      <c r="O97" s="287">
        <v>0</v>
      </c>
      <c r="P97" s="287">
        <v>0</v>
      </c>
      <c r="Q97" s="288">
        <v>0</v>
      </c>
      <c r="R97" s="290">
        <v>0</v>
      </c>
      <c r="S97"/>
      <c r="T97"/>
      <c r="U97"/>
      <c r="V97"/>
    </row>
    <row r="98" spans="1:22">
      <c r="A98" s="285"/>
      <c r="B98" s="595" t="s">
        <v>589</v>
      </c>
      <c r="C98" s="596">
        <v>0</v>
      </c>
      <c r="D98" s="597">
        <v>0</v>
      </c>
      <c r="E98" s="597">
        <v>0</v>
      </c>
      <c r="F98" s="597">
        <v>0</v>
      </c>
      <c r="G98" s="597">
        <v>0</v>
      </c>
      <c r="H98" s="597">
        <v>0</v>
      </c>
      <c r="I98" s="597">
        <v>0</v>
      </c>
      <c r="J98" s="598">
        <v>0</v>
      </c>
      <c r="K98" s="596">
        <v>0</v>
      </c>
      <c r="L98" s="597">
        <v>0</v>
      </c>
      <c r="M98" s="597">
        <v>0</v>
      </c>
      <c r="N98" s="597">
        <v>0</v>
      </c>
      <c r="O98" s="596">
        <v>0</v>
      </c>
      <c r="P98" s="599">
        <v>0</v>
      </c>
      <c r="Q98" s="597">
        <v>0</v>
      </c>
      <c r="R98" s="600">
        <v>0</v>
      </c>
      <c r="S98"/>
      <c r="T98"/>
      <c r="U98"/>
      <c r="V98"/>
    </row>
    <row r="99" spans="1:22">
      <c r="A99" s="285"/>
      <c r="B99" s="264" t="s">
        <v>590</v>
      </c>
      <c r="C99" s="281">
        <v>0</v>
      </c>
      <c r="D99" s="282">
        <v>0</v>
      </c>
      <c r="E99" s="282">
        <v>0</v>
      </c>
      <c r="F99" s="282">
        <v>0</v>
      </c>
      <c r="G99" s="282">
        <v>0</v>
      </c>
      <c r="H99" s="282">
        <v>0</v>
      </c>
      <c r="I99" s="282">
        <v>0</v>
      </c>
      <c r="J99" s="283">
        <v>0</v>
      </c>
      <c r="K99" s="281">
        <v>0</v>
      </c>
      <c r="L99" s="282">
        <v>0</v>
      </c>
      <c r="M99" s="282">
        <v>0</v>
      </c>
      <c r="N99" s="282">
        <v>0</v>
      </c>
      <c r="O99" s="281">
        <v>0</v>
      </c>
      <c r="P99" s="281">
        <v>0</v>
      </c>
      <c r="Q99" s="282">
        <v>0</v>
      </c>
      <c r="R99" s="284">
        <v>0</v>
      </c>
      <c r="S99"/>
      <c r="T99"/>
      <c r="U99"/>
      <c r="V99"/>
    </row>
    <row r="100" spans="1:22">
      <c r="A100" s="285"/>
      <c r="B100" s="286" t="s">
        <v>591</v>
      </c>
      <c r="C100" s="287">
        <v>0</v>
      </c>
      <c r="D100" s="288">
        <v>0</v>
      </c>
      <c r="E100" s="288">
        <v>0</v>
      </c>
      <c r="F100" s="288">
        <v>0</v>
      </c>
      <c r="G100" s="288">
        <v>0</v>
      </c>
      <c r="H100" s="288">
        <v>0</v>
      </c>
      <c r="I100" s="288">
        <v>0</v>
      </c>
      <c r="J100" s="289">
        <v>0</v>
      </c>
      <c r="K100" s="287">
        <v>0</v>
      </c>
      <c r="L100" s="288">
        <v>0</v>
      </c>
      <c r="M100" s="288">
        <v>0</v>
      </c>
      <c r="N100" s="288">
        <v>0</v>
      </c>
      <c r="O100" s="287">
        <v>0</v>
      </c>
      <c r="P100" s="287">
        <v>0</v>
      </c>
      <c r="Q100" s="288">
        <v>0</v>
      </c>
      <c r="R100" s="290">
        <v>0</v>
      </c>
      <c r="S100"/>
      <c r="T100"/>
      <c r="U100"/>
      <c r="V100"/>
    </row>
    <row r="101" spans="1:22">
      <c r="A101" s="285"/>
      <c r="B101" s="595" t="s">
        <v>592</v>
      </c>
      <c r="C101" s="596">
        <v>0</v>
      </c>
      <c r="D101" s="597">
        <v>0</v>
      </c>
      <c r="E101" s="597">
        <v>0</v>
      </c>
      <c r="F101" s="597">
        <v>0</v>
      </c>
      <c r="G101" s="597">
        <v>0</v>
      </c>
      <c r="H101" s="597">
        <v>0</v>
      </c>
      <c r="I101" s="597">
        <v>0</v>
      </c>
      <c r="J101" s="598">
        <v>0</v>
      </c>
      <c r="K101" s="596">
        <v>0</v>
      </c>
      <c r="L101" s="597">
        <v>0</v>
      </c>
      <c r="M101" s="597">
        <v>0</v>
      </c>
      <c r="N101" s="597">
        <v>0</v>
      </c>
      <c r="O101" s="596">
        <v>0</v>
      </c>
      <c r="P101" s="599">
        <v>0</v>
      </c>
      <c r="Q101" s="597">
        <v>0</v>
      </c>
      <c r="R101" s="600">
        <v>0</v>
      </c>
      <c r="S101"/>
      <c r="T101"/>
      <c r="U101"/>
      <c r="V101"/>
    </row>
    <row r="102" spans="1:22">
      <c r="A102" s="285"/>
      <c r="B102" s="264" t="s">
        <v>593</v>
      </c>
      <c r="C102" s="281">
        <v>0</v>
      </c>
      <c r="D102" s="282">
        <v>0</v>
      </c>
      <c r="E102" s="282">
        <v>0</v>
      </c>
      <c r="F102" s="282">
        <v>0</v>
      </c>
      <c r="G102" s="282">
        <v>0</v>
      </c>
      <c r="H102" s="282">
        <v>0</v>
      </c>
      <c r="I102" s="282">
        <v>0</v>
      </c>
      <c r="J102" s="283">
        <v>0</v>
      </c>
      <c r="K102" s="281">
        <v>0</v>
      </c>
      <c r="L102" s="282">
        <v>0</v>
      </c>
      <c r="M102" s="282">
        <v>0</v>
      </c>
      <c r="N102" s="282">
        <v>0</v>
      </c>
      <c r="O102" s="281">
        <v>0</v>
      </c>
      <c r="P102" s="281">
        <v>0</v>
      </c>
      <c r="Q102" s="282">
        <v>0</v>
      </c>
      <c r="R102" s="284">
        <v>0</v>
      </c>
      <c r="S102"/>
      <c r="T102"/>
      <c r="U102"/>
      <c r="V102"/>
    </row>
    <row r="103" spans="1:22">
      <c r="A103" s="285"/>
      <c r="B103" s="286" t="s">
        <v>594</v>
      </c>
      <c r="C103" s="287">
        <v>0</v>
      </c>
      <c r="D103" s="288">
        <v>0</v>
      </c>
      <c r="E103" s="288">
        <v>0</v>
      </c>
      <c r="F103" s="288">
        <v>0</v>
      </c>
      <c r="G103" s="288">
        <v>0</v>
      </c>
      <c r="H103" s="288">
        <v>0</v>
      </c>
      <c r="I103" s="288">
        <v>0</v>
      </c>
      <c r="J103" s="289">
        <v>0</v>
      </c>
      <c r="K103" s="287">
        <v>0</v>
      </c>
      <c r="L103" s="288">
        <v>0</v>
      </c>
      <c r="M103" s="288">
        <v>0</v>
      </c>
      <c r="N103" s="288">
        <v>0</v>
      </c>
      <c r="O103" s="287">
        <v>0</v>
      </c>
      <c r="P103" s="287">
        <v>0</v>
      </c>
      <c r="Q103" s="288">
        <v>0</v>
      </c>
      <c r="R103" s="290">
        <v>0</v>
      </c>
      <c r="S103"/>
      <c r="T103"/>
      <c r="U103"/>
      <c r="V103"/>
    </row>
    <row r="104" spans="1:22">
      <c r="A104" s="285"/>
      <c r="B104" s="595" t="s">
        <v>595</v>
      </c>
      <c r="C104" s="596">
        <v>0</v>
      </c>
      <c r="D104" s="597">
        <v>0</v>
      </c>
      <c r="E104" s="597">
        <v>0</v>
      </c>
      <c r="F104" s="597">
        <v>0</v>
      </c>
      <c r="G104" s="597">
        <v>0</v>
      </c>
      <c r="H104" s="597">
        <v>0</v>
      </c>
      <c r="I104" s="597">
        <v>0</v>
      </c>
      <c r="J104" s="598">
        <v>0</v>
      </c>
      <c r="K104" s="596">
        <v>0</v>
      </c>
      <c r="L104" s="597">
        <v>0</v>
      </c>
      <c r="M104" s="597">
        <v>0</v>
      </c>
      <c r="N104" s="597">
        <v>0</v>
      </c>
      <c r="O104" s="596">
        <v>0</v>
      </c>
      <c r="P104" s="599">
        <v>0</v>
      </c>
      <c r="Q104" s="597">
        <v>0</v>
      </c>
      <c r="R104" s="600">
        <v>0</v>
      </c>
      <c r="S104"/>
      <c r="T104"/>
      <c r="U104"/>
      <c r="V104"/>
    </row>
    <row r="105" spans="1:22">
      <c r="A105" s="285"/>
      <c r="B105" s="264" t="s">
        <v>596</v>
      </c>
      <c r="C105" s="281">
        <v>0</v>
      </c>
      <c r="D105" s="282">
        <v>0</v>
      </c>
      <c r="E105" s="282">
        <v>0</v>
      </c>
      <c r="F105" s="282">
        <v>0</v>
      </c>
      <c r="G105" s="282">
        <v>0</v>
      </c>
      <c r="H105" s="282">
        <v>0</v>
      </c>
      <c r="I105" s="282">
        <v>0</v>
      </c>
      <c r="J105" s="283">
        <v>0</v>
      </c>
      <c r="K105" s="281">
        <v>0</v>
      </c>
      <c r="L105" s="282">
        <v>0</v>
      </c>
      <c r="M105" s="282">
        <v>0</v>
      </c>
      <c r="N105" s="282">
        <v>0</v>
      </c>
      <c r="O105" s="281">
        <v>0</v>
      </c>
      <c r="P105" s="281">
        <v>0</v>
      </c>
      <c r="Q105" s="282">
        <v>0</v>
      </c>
      <c r="R105" s="284">
        <v>0</v>
      </c>
      <c r="S105"/>
      <c r="T105"/>
      <c r="U105"/>
      <c r="V105"/>
    </row>
    <row r="106" spans="1:22">
      <c r="A106" s="285"/>
      <c r="B106" s="286" t="s">
        <v>597</v>
      </c>
      <c r="C106" s="287">
        <v>0</v>
      </c>
      <c r="D106" s="288">
        <v>0</v>
      </c>
      <c r="E106" s="288">
        <v>0</v>
      </c>
      <c r="F106" s="288">
        <v>0</v>
      </c>
      <c r="G106" s="288">
        <v>0</v>
      </c>
      <c r="H106" s="288">
        <v>0</v>
      </c>
      <c r="I106" s="288">
        <v>0</v>
      </c>
      <c r="J106" s="289">
        <v>0</v>
      </c>
      <c r="K106" s="287">
        <v>0</v>
      </c>
      <c r="L106" s="288">
        <v>0</v>
      </c>
      <c r="M106" s="288">
        <v>0</v>
      </c>
      <c r="N106" s="288">
        <v>0</v>
      </c>
      <c r="O106" s="287">
        <v>0</v>
      </c>
      <c r="P106" s="287">
        <v>0</v>
      </c>
      <c r="Q106" s="288">
        <v>0</v>
      </c>
      <c r="R106" s="290">
        <v>0</v>
      </c>
      <c r="S106"/>
      <c r="T106"/>
      <c r="U106"/>
      <c r="V106"/>
    </row>
    <row r="107" spans="1:22">
      <c r="A107" s="285"/>
      <c r="B107" s="595" t="s">
        <v>598</v>
      </c>
      <c r="C107" s="596">
        <v>0</v>
      </c>
      <c r="D107" s="597">
        <v>0</v>
      </c>
      <c r="E107" s="597">
        <v>0</v>
      </c>
      <c r="F107" s="597">
        <v>0</v>
      </c>
      <c r="G107" s="597">
        <v>0</v>
      </c>
      <c r="H107" s="597">
        <v>0</v>
      </c>
      <c r="I107" s="597">
        <v>0</v>
      </c>
      <c r="J107" s="598">
        <v>0</v>
      </c>
      <c r="K107" s="596">
        <v>0</v>
      </c>
      <c r="L107" s="597">
        <v>0</v>
      </c>
      <c r="M107" s="597">
        <v>0</v>
      </c>
      <c r="N107" s="597">
        <v>0</v>
      </c>
      <c r="O107" s="596">
        <v>0</v>
      </c>
      <c r="P107" s="599">
        <v>0</v>
      </c>
      <c r="Q107" s="597">
        <v>0</v>
      </c>
      <c r="R107" s="600">
        <v>0</v>
      </c>
      <c r="S107"/>
      <c r="T107"/>
      <c r="U107"/>
      <c r="V107"/>
    </row>
    <row r="108" spans="1:22">
      <c r="A108" s="285"/>
      <c r="B108" s="264" t="s">
        <v>599</v>
      </c>
      <c r="C108" s="281">
        <v>0</v>
      </c>
      <c r="D108" s="282">
        <v>0</v>
      </c>
      <c r="E108" s="282">
        <v>0</v>
      </c>
      <c r="F108" s="282">
        <v>0</v>
      </c>
      <c r="G108" s="282">
        <v>0</v>
      </c>
      <c r="H108" s="282">
        <v>0</v>
      </c>
      <c r="I108" s="282">
        <v>0</v>
      </c>
      <c r="J108" s="283">
        <v>0</v>
      </c>
      <c r="K108" s="281">
        <v>0</v>
      </c>
      <c r="L108" s="282">
        <v>0</v>
      </c>
      <c r="M108" s="282">
        <v>0</v>
      </c>
      <c r="N108" s="282">
        <v>0</v>
      </c>
      <c r="O108" s="281">
        <v>0</v>
      </c>
      <c r="P108" s="281">
        <v>0</v>
      </c>
      <c r="Q108" s="282">
        <v>0</v>
      </c>
      <c r="R108" s="284">
        <v>0</v>
      </c>
      <c r="S108"/>
      <c r="T108"/>
      <c r="U108"/>
      <c r="V108"/>
    </row>
    <row r="109" spans="1:22">
      <c r="A109" s="285"/>
      <c r="B109" s="286" t="s">
        <v>600</v>
      </c>
      <c r="C109" s="287">
        <v>0</v>
      </c>
      <c r="D109" s="288">
        <v>0</v>
      </c>
      <c r="E109" s="288">
        <v>0</v>
      </c>
      <c r="F109" s="288">
        <v>0</v>
      </c>
      <c r="G109" s="288">
        <v>0</v>
      </c>
      <c r="H109" s="288">
        <v>0</v>
      </c>
      <c r="I109" s="288">
        <v>0</v>
      </c>
      <c r="J109" s="289">
        <v>0</v>
      </c>
      <c r="K109" s="287">
        <v>0</v>
      </c>
      <c r="L109" s="288">
        <v>0</v>
      </c>
      <c r="M109" s="288">
        <v>0</v>
      </c>
      <c r="N109" s="288">
        <v>0</v>
      </c>
      <c r="O109" s="287">
        <v>0</v>
      </c>
      <c r="P109" s="287">
        <v>0</v>
      </c>
      <c r="Q109" s="288">
        <v>0</v>
      </c>
      <c r="R109" s="290">
        <v>0</v>
      </c>
      <c r="S109"/>
      <c r="T109"/>
      <c r="U109"/>
      <c r="V109"/>
    </row>
    <row r="110" spans="1:22">
      <c r="A110" s="285"/>
      <c r="B110" s="595" t="s">
        <v>601</v>
      </c>
      <c r="C110" s="596">
        <v>0</v>
      </c>
      <c r="D110" s="597">
        <v>0</v>
      </c>
      <c r="E110" s="597">
        <v>0</v>
      </c>
      <c r="F110" s="597">
        <v>0</v>
      </c>
      <c r="G110" s="597">
        <v>0</v>
      </c>
      <c r="H110" s="597">
        <v>0</v>
      </c>
      <c r="I110" s="597">
        <v>0</v>
      </c>
      <c r="J110" s="598">
        <v>0</v>
      </c>
      <c r="K110" s="596">
        <v>0</v>
      </c>
      <c r="L110" s="597">
        <v>0</v>
      </c>
      <c r="M110" s="597">
        <v>0</v>
      </c>
      <c r="N110" s="597">
        <v>0</v>
      </c>
      <c r="O110" s="596">
        <v>0</v>
      </c>
      <c r="P110" s="599">
        <v>0</v>
      </c>
      <c r="Q110" s="597">
        <v>0</v>
      </c>
      <c r="R110" s="600">
        <v>0</v>
      </c>
      <c r="S110"/>
      <c r="T110"/>
      <c r="U110"/>
      <c r="V110"/>
    </row>
    <row r="111" spans="1:22">
      <c r="A111" s="285"/>
      <c r="B111" s="264" t="s">
        <v>602</v>
      </c>
      <c r="C111" s="281">
        <v>0</v>
      </c>
      <c r="D111" s="282">
        <v>0</v>
      </c>
      <c r="E111" s="282">
        <v>0</v>
      </c>
      <c r="F111" s="282">
        <v>0</v>
      </c>
      <c r="G111" s="282">
        <v>0</v>
      </c>
      <c r="H111" s="282">
        <v>0</v>
      </c>
      <c r="I111" s="282">
        <v>0</v>
      </c>
      <c r="J111" s="283">
        <v>0</v>
      </c>
      <c r="K111" s="281">
        <v>0</v>
      </c>
      <c r="L111" s="282">
        <v>0</v>
      </c>
      <c r="M111" s="282">
        <v>0</v>
      </c>
      <c r="N111" s="282">
        <v>0</v>
      </c>
      <c r="O111" s="281">
        <v>0</v>
      </c>
      <c r="P111" s="281">
        <v>0</v>
      </c>
      <c r="Q111" s="282">
        <v>0</v>
      </c>
      <c r="R111" s="284">
        <v>0</v>
      </c>
      <c r="S111"/>
      <c r="T111"/>
      <c r="U111"/>
      <c r="V111"/>
    </row>
    <row r="112" spans="1:22">
      <c r="A112" s="285"/>
      <c r="B112" s="286" t="s">
        <v>603</v>
      </c>
      <c r="C112" s="287">
        <v>0</v>
      </c>
      <c r="D112" s="288">
        <v>0</v>
      </c>
      <c r="E112" s="288">
        <v>0</v>
      </c>
      <c r="F112" s="288">
        <v>0</v>
      </c>
      <c r="G112" s="288">
        <v>0</v>
      </c>
      <c r="H112" s="288">
        <v>0</v>
      </c>
      <c r="I112" s="288">
        <v>0</v>
      </c>
      <c r="J112" s="289">
        <v>0</v>
      </c>
      <c r="K112" s="287">
        <v>0</v>
      </c>
      <c r="L112" s="288">
        <v>0</v>
      </c>
      <c r="M112" s="288">
        <v>0</v>
      </c>
      <c r="N112" s="288">
        <v>0</v>
      </c>
      <c r="O112" s="287">
        <v>0</v>
      </c>
      <c r="P112" s="287">
        <v>0</v>
      </c>
      <c r="Q112" s="288">
        <v>0</v>
      </c>
      <c r="R112" s="290">
        <v>0</v>
      </c>
      <c r="S112"/>
      <c r="T112"/>
      <c r="U112"/>
      <c r="V112"/>
    </row>
    <row r="113" spans="1:22">
      <c r="A113" s="292"/>
      <c r="B113" s="595" t="s">
        <v>604</v>
      </c>
      <c r="C113" s="596">
        <v>0</v>
      </c>
      <c r="D113" s="597">
        <v>0</v>
      </c>
      <c r="E113" s="597">
        <v>0</v>
      </c>
      <c r="F113" s="597">
        <v>0</v>
      </c>
      <c r="G113" s="597">
        <v>0</v>
      </c>
      <c r="H113" s="597">
        <v>0</v>
      </c>
      <c r="I113" s="597">
        <v>0</v>
      </c>
      <c r="J113" s="598">
        <v>0</v>
      </c>
      <c r="K113" s="596">
        <v>0</v>
      </c>
      <c r="L113" s="597">
        <v>0</v>
      </c>
      <c r="M113" s="597">
        <v>0</v>
      </c>
      <c r="N113" s="597">
        <v>0</v>
      </c>
      <c r="O113" s="596">
        <v>0</v>
      </c>
      <c r="P113" s="599">
        <v>0</v>
      </c>
      <c r="Q113" s="597">
        <v>0</v>
      </c>
      <c r="R113" s="600">
        <v>0</v>
      </c>
      <c r="S113"/>
      <c r="T113"/>
      <c r="U113"/>
      <c r="V113"/>
    </row>
    <row r="114" spans="1:22">
      <c r="A114" s="280" t="s">
        <v>115</v>
      </c>
      <c r="B114" s="264" t="s">
        <v>569</v>
      </c>
      <c r="C114" s="281">
        <v>0.72300286099259825</v>
      </c>
      <c r="D114" s="282">
        <v>0.72618579421498641</v>
      </c>
      <c r="E114" s="282">
        <v>0.88094162254007846</v>
      </c>
      <c r="F114" s="282">
        <v>0.79843278402763207</v>
      </c>
      <c r="G114" s="282">
        <v>0</v>
      </c>
      <c r="H114" s="282">
        <v>1</v>
      </c>
      <c r="I114" s="282">
        <v>0</v>
      </c>
      <c r="J114" s="283">
        <v>0.74848283886690636</v>
      </c>
      <c r="K114" s="281">
        <v>0.80472469340295294</v>
      </c>
      <c r="L114" s="282">
        <v>0.79584609549787777</v>
      </c>
      <c r="M114" s="282">
        <v>0.70184604204331946</v>
      </c>
      <c r="N114" s="282">
        <v>0.71492442826620239</v>
      </c>
      <c r="O114" s="281">
        <v>0.79363404349922562</v>
      </c>
      <c r="P114" s="281">
        <v>0</v>
      </c>
      <c r="Q114" s="282">
        <v>0</v>
      </c>
      <c r="R114" s="284">
        <v>0</v>
      </c>
      <c r="S114"/>
      <c r="T114"/>
      <c r="U114"/>
      <c r="V114"/>
    </row>
    <row r="115" spans="1:22">
      <c r="A115" s="285"/>
      <c r="B115" s="286" t="s">
        <v>570</v>
      </c>
      <c r="C115" s="287">
        <v>0.71856326751405353</v>
      </c>
      <c r="D115" s="288">
        <v>0.74551544538655112</v>
      </c>
      <c r="E115" s="288">
        <v>0.85071044073647994</v>
      </c>
      <c r="F115" s="288">
        <v>0.78510395315876991</v>
      </c>
      <c r="G115" s="288">
        <v>0</v>
      </c>
      <c r="H115" s="288">
        <v>1</v>
      </c>
      <c r="I115" s="288">
        <v>0</v>
      </c>
      <c r="J115" s="289">
        <v>0.74254212940448994</v>
      </c>
      <c r="K115" s="287">
        <v>0.78468255101654982</v>
      </c>
      <c r="L115" s="288">
        <v>0.74188255148682691</v>
      </c>
      <c r="M115" s="288">
        <v>0.6546466252348605</v>
      </c>
      <c r="N115" s="288">
        <v>0.66187874988806306</v>
      </c>
      <c r="O115" s="287">
        <v>0.75067284142118051</v>
      </c>
      <c r="P115" s="287">
        <v>0</v>
      </c>
      <c r="Q115" s="288">
        <v>0</v>
      </c>
      <c r="R115" s="290">
        <v>0</v>
      </c>
      <c r="S115"/>
      <c r="T115"/>
      <c r="U115"/>
      <c r="V115"/>
    </row>
    <row r="116" spans="1:22">
      <c r="A116" s="285"/>
      <c r="B116" s="595" t="s">
        <v>571</v>
      </c>
      <c r="C116" s="596">
        <v>-0.44395934785447233</v>
      </c>
      <c r="D116" s="597">
        <v>1.932965117156471</v>
      </c>
      <c r="E116" s="597">
        <v>-3.0231181803598517</v>
      </c>
      <c r="F116" s="597">
        <v>-1.3328830868862163</v>
      </c>
      <c r="G116" s="597">
        <v>0</v>
      </c>
      <c r="H116" s="597">
        <v>0</v>
      </c>
      <c r="I116" s="597">
        <v>0</v>
      </c>
      <c r="J116" s="598">
        <v>-0.59407094624164269</v>
      </c>
      <c r="K116" s="596">
        <v>-2.0042142386403117</v>
      </c>
      <c r="L116" s="597">
        <v>-5.3963544011050857</v>
      </c>
      <c r="M116" s="597">
        <v>-4.7199416808458956</v>
      </c>
      <c r="N116" s="597">
        <v>-5.3045678378139343</v>
      </c>
      <c r="O116" s="596">
        <v>-4.2961202078045098</v>
      </c>
      <c r="P116" s="599">
        <v>0</v>
      </c>
      <c r="Q116" s="597">
        <v>0</v>
      </c>
      <c r="R116" s="600">
        <v>0</v>
      </c>
      <c r="S116"/>
      <c r="T116"/>
      <c r="U116"/>
      <c r="V116"/>
    </row>
    <row r="117" spans="1:22">
      <c r="A117" s="285"/>
      <c r="B117" s="264" t="s">
        <v>572</v>
      </c>
      <c r="C117" s="281">
        <v>8.6128890819797507E-2</v>
      </c>
      <c r="D117" s="282">
        <v>0.21253023849453109</v>
      </c>
      <c r="E117" s="282">
        <v>1.4386390929348481E-2</v>
      </c>
      <c r="F117" s="282">
        <v>2.6643478541569152E-2</v>
      </c>
      <c r="G117" s="282">
        <v>0</v>
      </c>
      <c r="H117" s="282">
        <v>0</v>
      </c>
      <c r="I117" s="282">
        <v>0</v>
      </c>
      <c r="J117" s="283">
        <v>8.405211924501528E-2</v>
      </c>
      <c r="K117" s="281">
        <v>1.9833853469647441E-2</v>
      </c>
      <c r="L117" s="282">
        <v>2.4107145580695575E-2</v>
      </c>
      <c r="M117" s="282">
        <v>7.6367471374384058E-2</v>
      </c>
      <c r="N117" s="282">
        <v>6.6590171717971033E-2</v>
      </c>
      <c r="O117" s="281">
        <v>2.5530843299911954E-2</v>
      </c>
      <c r="P117" s="281">
        <v>0</v>
      </c>
      <c r="Q117" s="282">
        <v>0</v>
      </c>
      <c r="R117" s="284">
        <v>0</v>
      </c>
      <c r="S117"/>
      <c r="T117"/>
      <c r="U117"/>
      <c r="V117"/>
    </row>
    <row r="118" spans="1:22">
      <c r="A118" s="285"/>
      <c r="B118" s="286" t="s">
        <v>573</v>
      </c>
      <c r="C118" s="287">
        <v>8.5876857330333012E-2</v>
      </c>
      <c r="D118" s="288">
        <v>0.18952712478188816</v>
      </c>
      <c r="E118" s="288">
        <v>1.2122953596144145E-2</v>
      </c>
      <c r="F118" s="288">
        <v>2.2219080956614574E-2</v>
      </c>
      <c r="G118" s="288">
        <v>0</v>
      </c>
      <c r="H118" s="288">
        <v>0</v>
      </c>
      <c r="I118" s="288">
        <v>0</v>
      </c>
      <c r="J118" s="289">
        <v>8.1468315461122556E-2</v>
      </c>
      <c r="K118" s="287">
        <v>1.5518005905460755E-2</v>
      </c>
      <c r="L118" s="288">
        <v>2.3670142306161809E-2</v>
      </c>
      <c r="M118" s="288">
        <v>6.2581297875415526E-2</v>
      </c>
      <c r="N118" s="288">
        <v>5.4678964807020683E-2</v>
      </c>
      <c r="O118" s="287">
        <v>2.3133413561634963E-2</v>
      </c>
      <c r="P118" s="287">
        <v>0</v>
      </c>
      <c r="Q118" s="288">
        <v>0</v>
      </c>
      <c r="R118" s="290">
        <v>0</v>
      </c>
      <c r="S118"/>
      <c r="T118"/>
      <c r="U118"/>
      <c r="V118"/>
    </row>
    <row r="119" spans="1:22">
      <c r="A119" s="285"/>
      <c r="B119" s="595" t="s">
        <v>574</v>
      </c>
      <c r="C119" s="596">
        <v>-2.5203348946449544E-2</v>
      </c>
      <c r="D119" s="597">
        <v>-2.3003113712642937</v>
      </c>
      <c r="E119" s="597">
        <v>-0.22634373332043356</v>
      </c>
      <c r="F119" s="597">
        <v>-0.4424397584954578</v>
      </c>
      <c r="G119" s="597">
        <v>0</v>
      </c>
      <c r="H119" s="597">
        <v>0</v>
      </c>
      <c r="I119" s="597">
        <v>0</v>
      </c>
      <c r="J119" s="598">
        <v>-0.25838037838927241</v>
      </c>
      <c r="K119" s="596">
        <v>-0.43158475641866861</v>
      </c>
      <c r="L119" s="597">
        <v>-4.3700327453376556E-2</v>
      </c>
      <c r="M119" s="597">
        <v>-1.3786173498968533</v>
      </c>
      <c r="N119" s="597">
        <v>-1.1911206910950352</v>
      </c>
      <c r="O119" s="596">
        <v>-0.2397429738276991</v>
      </c>
      <c r="P119" s="599">
        <v>0</v>
      </c>
      <c r="Q119" s="597">
        <v>0</v>
      </c>
      <c r="R119" s="600">
        <v>0</v>
      </c>
      <c r="S119"/>
      <c r="T119"/>
      <c r="U119"/>
      <c r="V119"/>
    </row>
    <row r="120" spans="1:22">
      <c r="A120" s="285"/>
      <c r="B120" s="264" t="s">
        <v>575</v>
      </c>
      <c r="C120" s="281">
        <v>0.1262600680311606</v>
      </c>
      <c r="D120" s="282">
        <v>4.7064454371410339E-2</v>
      </c>
      <c r="E120" s="282">
        <v>0.10133445873165105</v>
      </c>
      <c r="F120" s="282">
        <v>0.17463321335765128</v>
      </c>
      <c r="G120" s="282">
        <v>0</v>
      </c>
      <c r="H120" s="282">
        <v>0</v>
      </c>
      <c r="I120" s="282">
        <v>0</v>
      </c>
      <c r="J120" s="283">
        <v>0.11780354652843419</v>
      </c>
      <c r="K120" s="281">
        <v>0.12165156534520963</v>
      </c>
      <c r="L120" s="282">
        <v>0.13560866755037276</v>
      </c>
      <c r="M120" s="282">
        <v>0.17663245772625757</v>
      </c>
      <c r="N120" s="282">
        <v>0.13153833979583762</v>
      </c>
      <c r="O120" s="281">
        <v>0.13320465640384285</v>
      </c>
      <c r="P120" s="281">
        <v>0</v>
      </c>
      <c r="Q120" s="282">
        <v>0</v>
      </c>
      <c r="R120" s="284">
        <v>0</v>
      </c>
      <c r="S120"/>
      <c r="T120"/>
      <c r="U120"/>
      <c r="V120"/>
    </row>
    <row r="121" spans="1:22">
      <c r="A121" s="285"/>
      <c r="B121" s="286" t="s">
        <v>576</v>
      </c>
      <c r="C121" s="287">
        <v>0.161656692704088</v>
      </c>
      <c r="D121" s="288">
        <v>5.7634133295921854E-2</v>
      </c>
      <c r="E121" s="288">
        <v>0.12893746926002791</v>
      </c>
      <c r="F121" s="288">
        <v>0.19267696588461553</v>
      </c>
      <c r="G121" s="288">
        <v>0</v>
      </c>
      <c r="H121" s="288">
        <v>0</v>
      </c>
      <c r="I121" s="288">
        <v>0</v>
      </c>
      <c r="J121" s="289">
        <v>0.14921884554149728</v>
      </c>
      <c r="K121" s="287">
        <v>0.15411040130446371</v>
      </c>
      <c r="L121" s="288">
        <v>0.16429816613780499</v>
      </c>
      <c r="M121" s="288">
        <v>0.19453884748002395</v>
      </c>
      <c r="N121" s="288">
        <v>0.14524939554043162</v>
      </c>
      <c r="O121" s="287">
        <v>0.16244565474135139</v>
      </c>
      <c r="P121" s="287">
        <v>0</v>
      </c>
      <c r="Q121" s="288">
        <v>0</v>
      </c>
      <c r="R121" s="290">
        <v>0</v>
      </c>
      <c r="S121"/>
      <c r="T121"/>
      <c r="U121"/>
      <c r="V121"/>
    </row>
    <row r="122" spans="1:22">
      <c r="A122" s="285"/>
      <c r="B122" s="595" t="s">
        <v>577</v>
      </c>
      <c r="C122" s="596">
        <v>3.5396624672927395</v>
      </c>
      <c r="D122" s="597">
        <v>1.0569678924511514</v>
      </c>
      <c r="E122" s="597">
        <v>2.7603010528376868</v>
      </c>
      <c r="F122" s="597">
        <v>1.8043752526964245</v>
      </c>
      <c r="G122" s="597">
        <v>0</v>
      </c>
      <c r="H122" s="597">
        <v>0</v>
      </c>
      <c r="I122" s="597">
        <v>0</v>
      </c>
      <c r="J122" s="598">
        <v>3.1415299013063085</v>
      </c>
      <c r="K122" s="596">
        <v>3.2458835959254086</v>
      </c>
      <c r="L122" s="597">
        <v>2.8689498587432221</v>
      </c>
      <c r="M122" s="597">
        <v>1.7906389753766376</v>
      </c>
      <c r="N122" s="597">
        <v>1.3711055744593996</v>
      </c>
      <c r="O122" s="596">
        <v>2.9240998337508541</v>
      </c>
      <c r="P122" s="599">
        <v>0</v>
      </c>
      <c r="Q122" s="597">
        <v>0</v>
      </c>
      <c r="R122" s="600">
        <v>0</v>
      </c>
      <c r="S122"/>
      <c r="T122"/>
      <c r="U122"/>
      <c r="V122"/>
    </row>
    <row r="123" spans="1:22">
      <c r="A123" s="285"/>
      <c r="B123" s="264" t="s">
        <v>578</v>
      </c>
      <c r="C123" s="281">
        <v>1.2118876344656511E-2</v>
      </c>
      <c r="D123" s="282">
        <v>1.2310592006648758E-2</v>
      </c>
      <c r="E123" s="282">
        <v>3.3231657130609912E-3</v>
      </c>
      <c r="F123" s="282">
        <v>0</v>
      </c>
      <c r="G123" s="282">
        <v>0</v>
      </c>
      <c r="H123" s="282">
        <v>0</v>
      </c>
      <c r="I123" s="282">
        <v>0</v>
      </c>
      <c r="J123" s="283">
        <v>1.045098358387646E-2</v>
      </c>
      <c r="K123" s="281">
        <v>7.9700149184967425E-4</v>
      </c>
      <c r="L123" s="282">
        <v>2.0379921320556539E-3</v>
      </c>
      <c r="M123" s="282">
        <v>1.6780991882023467E-2</v>
      </c>
      <c r="N123" s="282">
        <v>1.3353644061090448E-2</v>
      </c>
      <c r="O123" s="281">
        <v>2.4248973871408763E-3</v>
      </c>
      <c r="P123" s="281">
        <v>0</v>
      </c>
      <c r="Q123" s="282">
        <v>0</v>
      </c>
      <c r="R123" s="284">
        <v>0</v>
      </c>
      <c r="S123"/>
      <c r="T123"/>
      <c r="U123"/>
      <c r="V123"/>
    </row>
    <row r="124" spans="1:22">
      <c r="A124" s="285"/>
      <c r="B124" s="286" t="s">
        <v>579</v>
      </c>
      <c r="C124" s="287">
        <v>4.7429674965855878E-4</v>
      </c>
      <c r="D124" s="288">
        <v>3.2793497417731286E-3</v>
      </c>
      <c r="E124" s="288">
        <v>4.7401168040286798E-4</v>
      </c>
      <c r="F124" s="288">
        <v>0</v>
      </c>
      <c r="G124" s="288">
        <v>0</v>
      </c>
      <c r="H124" s="288">
        <v>0</v>
      </c>
      <c r="I124" s="288">
        <v>0</v>
      </c>
      <c r="J124" s="289">
        <v>6.8366445295073774E-4</v>
      </c>
      <c r="K124" s="287">
        <v>1.781200460362196E-4</v>
      </c>
      <c r="L124" s="288">
        <v>9.4571471868894403E-4</v>
      </c>
      <c r="M124" s="288">
        <v>1.0034480622715917E-2</v>
      </c>
      <c r="N124" s="288">
        <v>1.9700904450613414E-3</v>
      </c>
      <c r="O124" s="287">
        <v>1.1407938510899734E-3</v>
      </c>
      <c r="P124" s="287">
        <v>0</v>
      </c>
      <c r="Q124" s="288">
        <v>0</v>
      </c>
      <c r="R124" s="290">
        <v>0</v>
      </c>
      <c r="S124"/>
      <c r="T124"/>
      <c r="U124"/>
      <c r="V124"/>
    </row>
    <row r="125" spans="1:22">
      <c r="A125" s="285"/>
      <c r="B125" s="595" t="s">
        <v>580</v>
      </c>
      <c r="C125" s="596">
        <v>-1.1644579594997952</v>
      </c>
      <c r="D125" s="597">
        <v>-0.90312422648756296</v>
      </c>
      <c r="E125" s="597">
        <v>-0.28491540326581233</v>
      </c>
      <c r="F125" s="597">
        <v>0</v>
      </c>
      <c r="G125" s="597">
        <v>0</v>
      </c>
      <c r="H125" s="597">
        <v>0</v>
      </c>
      <c r="I125" s="597">
        <v>0</v>
      </c>
      <c r="J125" s="598">
        <v>-0.97673191309257212</v>
      </c>
      <c r="K125" s="596">
        <v>-6.1888144581345464E-2</v>
      </c>
      <c r="L125" s="597">
        <v>-0.10922774133667099</v>
      </c>
      <c r="M125" s="597">
        <v>-0.67465112593075494</v>
      </c>
      <c r="N125" s="597">
        <v>-1.1383553616029107</v>
      </c>
      <c r="O125" s="596">
        <v>-0.12841035360509029</v>
      </c>
      <c r="P125" s="599">
        <v>0</v>
      </c>
      <c r="Q125" s="597">
        <v>0</v>
      </c>
      <c r="R125" s="600">
        <v>0</v>
      </c>
      <c r="S125"/>
      <c r="T125"/>
      <c r="U125"/>
      <c r="V125"/>
    </row>
    <row r="126" spans="1:22">
      <c r="A126" s="285"/>
      <c r="B126" s="264" t="s">
        <v>581</v>
      </c>
      <c r="C126" s="281">
        <v>5.1079629292239685E-2</v>
      </c>
      <c r="D126" s="282">
        <v>1.9089209124233835E-3</v>
      </c>
      <c r="E126" s="282">
        <v>1.4362085860968381E-5</v>
      </c>
      <c r="F126" s="282">
        <v>2.9052407314750553E-4</v>
      </c>
      <c r="G126" s="282">
        <v>0</v>
      </c>
      <c r="H126" s="282">
        <v>0</v>
      </c>
      <c r="I126" s="282">
        <v>0</v>
      </c>
      <c r="J126" s="283">
        <v>3.8161913622378675E-2</v>
      </c>
      <c r="K126" s="281">
        <v>4.5797248305214894E-2</v>
      </c>
      <c r="L126" s="282">
        <v>4.1856114976242628E-2</v>
      </c>
      <c r="M126" s="282">
        <v>2.7863447835797087E-2</v>
      </c>
      <c r="N126" s="282">
        <v>6.7421065126216664E-2</v>
      </c>
      <c r="O126" s="281">
        <v>4.2550725956337687E-2</v>
      </c>
      <c r="P126" s="281">
        <v>0</v>
      </c>
      <c r="Q126" s="282">
        <v>0</v>
      </c>
      <c r="R126" s="284">
        <v>0</v>
      </c>
      <c r="S126"/>
      <c r="T126"/>
      <c r="U126"/>
      <c r="V126"/>
    </row>
    <row r="127" spans="1:22">
      <c r="A127" s="285"/>
      <c r="B127" s="286" t="s">
        <v>582</v>
      </c>
      <c r="C127" s="287">
        <v>3.2122772325707601E-2</v>
      </c>
      <c r="D127" s="288">
        <v>4.0439467938656872E-3</v>
      </c>
      <c r="E127" s="288">
        <v>7.755124726945152E-3</v>
      </c>
      <c r="F127" s="288">
        <v>0</v>
      </c>
      <c r="G127" s="288">
        <v>0</v>
      </c>
      <c r="H127" s="288">
        <v>0</v>
      </c>
      <c r="I127" s="288">
        <v>0</v>
      </c>
      <c r="J127" s="289">
        <v>2.5122192640939945E-2</v>
      </c>
      <c r="K127" s="287">
        <v>3.5989311547272591E-2</v>
      </c>
      <c r="L127" s="288">
        <v>6.8841044386535002E-2</v>
      </c>
      <c r="M127" s="288">
        <v>7.7015671133318198E-2</v>
      </c>
      <c r="N127" s="288">
        <v>0.1362227993194233</v>
      </c>
      <c r="O127" s="287">
        <v>5.9353228718355314E-2</v>
      </c>
      <c r="P127" s="287">
        <v>0</v>
      </c>
      <c r="Q127" s="288">
        <v>0</v>
      </c>
      <c r="R127" s="290">
        <v>0</v>
      </c>
      <c r="S127"/>
      <c r="T127"/>
      <c r="U127"/>
      <c r="V127"/>
    </row>
    <row r="128" spans="1:22">
      <c r="A128" s="285"/>
      <c r="B128" s="595" t="s">
        <v>583</v>
      </c>
      <c r="C128" s="596">
        <v>-1.8956856966532085</v>
      </c>
      <c r="D128" s="597">
        <v>0.21350258814423037</v>
      </c>
      <c r="E128" s="597">
        <v>0.77407626410841845</v>
      </c>
      <c r="F128" s="597">
        <v>-2.9052407314750554E-2</v>
      </c>
      <c r="G128" s="597">
        <v>0</v>
      </c>
      <c r="H128" s="597">
        <v>0</v>
      </c>
      <c r="I128" s="597">
        <v>0</v>
      </c>
      <c r="J128" s="598">
        <v>-1.3039720981438729</v>
      </c>
      <c r="K128" s="596">
        <v>-0.98079367579423027</v>
      </c>
      <c r="L128" s="597">
        <v>2.6984929410292375</v>
      </c>
      <c r="M128" s="597">
        <v>4.9152223297521118</v>
      </c>
      <c r="N128" s="597">
        <v>6.8801734193206636</v>
      </c>
      <c r="O128" s="596">
        <v>1.6802502762017626</v>
      </c>
      <c r="P128" s="599">
        <v>0</v>
      </c>
      <c r="Q128" s="597">
        <v>0</v>
      </c>
      <c r="R128" s="600">
        <v>0</v>
      </c>
      <c r="S128"/>
      <c r="T128"/>
      <c r="U128"/>
      <c r="V128"/>
    </row>
    <row r="129" spans="1:22">
      <c r="A129" s="285"/>
      <c r="B129" s="264" t="s">
        <v>584</v>
      </c>
      <c r="C129" s="281">
        <v>1.4096745195474466E-3</v>
      </c>
      <c r="D129" s="282">
        <v>0</v>
      </c>
      <c r="E129" s="282">
        <v>0</v>
      </c>
      <c r="F129" s="282">
        <v>0</v>
      </c>
      <c r="G129" s="282">
        <v>0</v>
      </c>
      <c r="H129" s="282">
        <v>0</v>
      </c>
      <c r="I129" s="282">
        <v>0</v>
      </c>
      <c r="J129" s="283">
        <v>1.0485981533890152E-3</v>
      </c>
      <c r="K129" s="281">
        <v>7.195637985125381E-3</v>
      </c>
      <c r="L129" s="282">
        <v>5.4398426275558364E-4</v>
      </c>
      <c r="M129" s="282">
        <v>5.0958913821829907E-4</v>
      </c>
      <c r="N129" s="282">
        <v>6.1723510326818073E-3</v>
      </c>
      <c r="O129" s="281">
        <v>2.6548334535410048E-3</v>
      </c>
      <c r="P129" s="281">
        <v>0</v>
      </c>
      <c r="Q129" s="282">
        <v>0</v>
      </c>
      <c r="R129" s="284">
        <v>0</v>
      </c>
      <c r="S129"/>
      <c r="T129"/>
      <c r="U129"/>
      <c r="V129"/>
    </row>
    <row r="130" spans="1:22">
      <c r="A130" s="285"/>
      <c r="B130" s="286" t="s">
        <v>585</v>
      </c>
      <c r="C130" s="287">
        <v>1.3061133761592921E-3</v>
      </c>
      <c r="D130" s="288">
        <v>0</v>
      </c>
      <c r="E130" s="288">
        <v>0</v>
      </c>
      <c r="F130" s="288">
        <v>0</v>
      </c>
      <c r="G130" s="288">
        <v>0</v>
      </c>
      <c r="H130" s="288">
        <v>0</v>
      </c>
      <c r="I130" s="288">
        <v>0</v>
      </c>
      <c r="J130" s="289">
        <v>9.6485249899955043E-4</v>
      </c>
      <c r="K130" s="287">
        <v>9.5216101802168621E-3</v>
      </c>
      <c r="L130" s="288">
        <v>3.6238096398239671E-4</v>
      </c>
      <c r="M130" s="288">
        <v>1.183077653665889E-3</v>
      </c>
      <c r="N130" s="288">
        <v>0</v>
      </c>
      <c r="O130" s="287">
        <v>3.2540677063877931E-3</v>
      </c>
      <c r="P130" s="287">
        <v>0</v>
      </c>
      <c r="Q130" s="288">
        <v>0</v>
      </c>
      <c r="R130" s="290">
        <v>0</v>
      </c>
      <c r="S130"/>
      <c r="T130"/>
      <c r="U130"/>
      <c r="V130"/>
    </row>
    <row r="131" spans="1:22">
      <c r="A131" s="285"/>
      <c r="B131" s="595" t="s">
        <v>586</v>
      </c>
      <c r="C131" s="596">
        <v>-1.0356114338815449E-2</v>
      </c>
      <c r="D131" s="597">
        <v>0</v>
      </c>
      <c r="E131" s="597">
        <v>0</v>
      </c>
      <c r="F131" s="597">
        <v>0</v>
      </c>
      <c r="G131" s="597">
        <v>0</v>
      </c>
      <c r="H131" s="597">
        <v>0</v>
      </c>
      <c r="I131" s="597">
        <v>0</v>
      </c>
      <c r="J131" s="598">
        <v>-8.3745654389464803E-3</v>
      </c>
      <c r="K131" s="596">
        <v>0.23259721950914811</v>
      </c>
      <c r="L131" s="597">
        <v>-1.8160329877318693E-2</v>
      </c>
      <c r="M131" s="597">
        <v>6.7348851544759003E-2</v>
      </c>
      <c r="N131" s="597">
        <v>-0.61723510326818076</v>
      </c>
      <c r="O131" s="596">
        <v>5.9923425284678838E-2</v>
      </c>
      <c r="P131" s="599">
        <v>0</v>
      </c>
      <c r="Q131" s="597">
        <v>0</v>
      </c>
      <c r="R131" s="600">
        <v>0</v>
      </c>
      <c r="S131"/>
      <c r="T131"/>
      <c r="U131"/>
      <c r="V131"/>
    </row>
    <row r="132" spans="1:22">
      <c r="A132" s="285"/>
      <c r="B132" s="264" t="s">
        <v>587</v>
      </c>
      <c r="C132" s="281">
        <v>0.72144619468829307</v>
      </c>
      <c r="D132" s="282">
        <v>0.52940428022495356</v>
      </c>
      <c r="E132" s="282">
        <v>0.62231798026033469</v>
      </c>
      <c r="F132" s="282">
        <v>0.55132726935214404</v>
      </c>
      <c r="G132" s="282">
        <v>0</v>
      </c>
      <c r="H132" s="282">
        <v>0</v>
      </c>
      <c r="I132" s="282">
        <v>0</v>
      </c>
      <c r="J132" s="283">
        <v>0.69710021947728562</v>
      </c>
      <c r="K132" s="281">
        <v>0</v>
      </c>
      <c r="L132" s="282">
        <v>0</v>
      </c>
      <c r="M132" s="282">
        <v>0</v>
      </c>
      <c r="N132" s="282">
        <v>0</v>
      </c>
      <c r="O132" s="281">
        <v>0</v>
      </c>
      <c r="P132" s="281">
        <v>0</v>
      </c>
      <c r="Q132" s="282">
        <v>0</v>
      </c>
      <c r="R132" s="284">
        <v>0</v>
      </c>
      <c r="S132"/>
      <c r="T132"/>
      <c r="U132"/>
      <c r="V132"/>
    </row>
    <row r="133" spans="1:22">
      <c r="A133" s="285"/>
      <c r="B133" s="286" t="s">
        <v>588</v>
      </c>
      <c r="C133" s="287">
        <v>0.6970443985915048</v>
      </c>
      <c r="D133" s="288">
        <v>0.57320679543176734</v>
      </c>
      <c r="E133" s="288">
        <v>0.58295548047128032</v>
      </c>
      <c r="F133" s="288">
        <v>0.52134728798072927</v>
      </c>
      <c r="G133" s="288">
        <v>0</v>
      </c>
      <c r="H133" s="288">
        <v>0</v>
      </c>
      <c r="I133" s="288">
        <v>0</v>
      </c>
      <c r="J133" s="289">
        <v>0.67547666685119134</v>
      </c>
      <c r="K133" s="287">
        <v>0</v>
      </c>
      <c r="L133" s="288">
        <v>0</v>
      </c>
      <c r="M133" s="288">
        <v>0</v>
      </c>
      <c r="N133" s="288">
        <v>0</v>
      </c>
      <c r="O133" s="287">
        <v>0</v>
      </c>
      <c r="P133" s="287">
        <v>0</v>
      </c>
      <c r="Q133" s="288">
        <v>0</v>
      </c>
      <c r="R133" s="290">
        <v>0</v>
      </c>
      <c r="S133"/>
      <c r="T133"/>
      <c r="U133"/>
      <c r="V133"/>
    </row>
    <row r="134" spans="1:22">
      <c r="A134" s="285"/>
      <c r="B134" s="595" t="s">
        <v>589</v>
      </c>
      <c r="C134" s="596">
        <v>-2.4401796096788275</v>
      </c>
      <c r="D134" s="597">
        <v>4.3802515206813775</v>
      </c>
      <c r="E134" s="597">
        <v>-3.9362499789054373</v>
      </c>
      <c r="F134" s="597">
        <v>-2.9979981371414777</v>
      </c>
      <c r="G134" s="597">
        <v>0</v>
      </c>
      <c r="H134" s="597">
        <v>0</v>
      </c>
      <c r="I134" s="597">
        <v>0</v>
      </c>
      <c r="J134" s="598">
        <v>-2.1623552626094278</v>
      </c>
      <c r="K134" s="596">
        <v>0</v>
      </c>
      <c r="L134" s="597">
        <v>0</v>
      </c>
      <c r="M134" s="597">
        <v>0</v>
      </c>
      <c r="N134" s="597">
        <v>0</v>
      </c>
      <c r="O134" s="596">
        <v>0</v>
      </c>
      <c r="P134" s="599">
        <v>0</v>
      </c>
      <c r="Q134" s="597">
        <v>0</v>
      </c>
      <c r="R134" s="600">
        <v>0</v>
      </c>
      <c r="S134"/>
      <c r="T134"/>
      <c r="U134"/>
      <c r="V134"/>
    </row>
    <row r="135" spans="1:22">
      <c r="A135" s="285"/>
      <c r="B135" s="264" t="s">
        <v>590</v>
      </c>
      <c r="C135" s="281">
        <v>9.1626368409098463E-2</v>
      </c>
      <c r="D135" s="282">
        <v>0.21709036313204572</v>
      </c>
      <c r="E135" s="282">
        <v>0.18161743670433414</v>
      </c>
      <c r="F135" s="282">
        <v>4.7382587711156485E-2</v>
      </c>
      <c r="G135" s="282">
        <v>0</v>
      </c>
      <c r="H135" s="282">
        <v>0</v>
      </c>
      <c r="I135" s="282">
        <v>0</v>
      </c>
      <c r="J135" s="283">
        <v>0.10710274566435089</v>
      </c>
      <c r="K135" s="281">
        <v>0</v>
      </c>
      <c r="L135" s="282">
        <v>0</v>
      </c>
      <c r="M135" s="282">
        <v>0</v>
      </c>
      <c r="N135" s="282">
        <v>0</v>
      </c>
      <c r="O135" s="281">
        <v>0</v>
      </c>
      <c r="P135" s="281">
        <v>0</v>
      </c>
      <c r="Q135" s="282">
        <v>0</v>
      </c>
      <c r="R135" s="284">
        <v>0</v>
      </c>
      <c r="S135"/>
      <c r="T135"/>
      <c r="U135"/>
      <c r="V135"/>
    </row>
    <row r="136" spans="1:22">
      <c r="A136" s="285"/>
      <c r="B136" s="286" t="s">
        <v>591</v>
      </c>
      <c r="C136" s="287">
        <v>7.9522007019517477E-2</v>
      </c>
      <c r="D136" s="288">
        <v>0.1835459483537287</v>
      </c>
      <c r="E136" s="288">
        <v>0.18734791057579525</v>
      </c>
      <c r="F136" s="288">
        <v>5.714760362156325E-2</v>
      </c>
      <c r="G136" s="288">
        <v>0</v>
      </c>
      <c r="H136" s="288">
        <v>0</v>
      </c>
      <c r="I136" s="288">
        <v>0</v>
      </c>
      <c r="J136" s="289">
        <v>9.5485998529074509E-2</v>
      </c>
      <c r="K136" s="287">
        <v>0</v>
      </c>
      <c r="L136" s="288">
        <v>0</v>
      </c>
      <c r="M136" s="288">
        <v>0</v>
      </c>
      <c r="N136" s="288">
        <v>0</v>
      </c>
      <c r="O136" s="287">
        <v>0</v>
      </c>
      <c r="P136" s="287">
        <v>0</v>
      </c>
      <c r="Q136" s="288">
        <v>0</v>
      </c>
      <c r="R136" s="290">
        <v>0</v>
      </c>
      <c r="S136"/>
      <c r="T136"/>
      <c r="U136"/>
      <c r="V136"/>
    </row>
    <row r="137" spans="1:22">
      <c r="A137" s="285"/>
      <c r="B137" s="595" t="s">
        <v>592</v>
      </c>
      <c r="C137" s="596">
        <v>-1.2104361389580987</v>
      </c>
      <c r="D137" s="597">
        <v>-3.3544414778317018</v>
      </c>
      <c r="E137" s="597">
        <v>0.57304738714611114</v>
      </c>
      <c r="F137" s="597">
        <v>0.97650159104067658</v>
      </c>
      <c r="G137" s="597">
        <v>0</v>
      </c>
      <c r="H137" s="597">
        <v>0</v>
      </c>
      <c r="I137" s="597">
        <v>0</v>
      </c>
      <c r="J137" s="598">
        <v>-1.1616747135276384</v>
      </c>
      <c r="K137" s="596">
        <v>0</v>
      </c>
      <c r="L137" s="597">
        <v>0</v>
      </c>
      <c r="M137" s="597">
        <v>0</v>
      </c>
      <c r="N137" s="597">
        <v>0</v>
      </c>
      <c r="O137" s="596">
        <v>0</v>
      </c>
      <c r="P137" s="599">
        <v>0</v>
      </c>
      <c r="Q137" s="597">
        <v>0</v>
      </c>
      <c r="R137" s="600">
        <v>0</v>
      </c>
      <c r="S137"/>
      <c r="T137"/>
      <c r="U137"/>
      <c r="V137"/>
    </row>
    <row r="138" spans="1:22">
      <c r="A138" s="285"/>
      <c r="B138" s="264" t="s">
        <v>593</v>
      </c>
      <c r="C138" s="281">
        <v>0.15453070499900243</v>
      </c>
      <c r="D138" s="282">
        <v>0.2073059012138331</v>
      </c>
      <c r="E138" s="282">
        <v>0.19525997711343154</v>
      </c>
      <c r="F138" s="282">
        <v>0.40129014293669946</v>
      </c>
      <c r="G138" s="282">
        <v>0</v>
      </c>
      <c r="H138" s="282">
        <v>0</v>
      </c>
      <c r="I138" s="282">
        <v>0</v>
      </c>
      <c r="J138" s="283">
        <v>0.16596730900227194</v>
      </c>
      <c r="K138" s="281">
        <v>0</v>
      </c>
      <c r="L138" s="282">
        <v>0</v>
      </c>
      <c r="M138" s="282">
        <v>0</v>
      </c>
      <c r="N138" s="282">
        <v>0</v>
      </c>
      <c r="O138" s="281">
        <v>0</v>
      </c>
      <c r="P138" s="281">
        <v>0</v>
      </c>
      <c r="Q138" s="282">
        <v>0</v>
      </c>
      <c r="R138" s="284">
        <v>0</v>
      </c>
      <c r="S138"/>
      <c r="T138"/>
      <c r="U138"/>
      <c r="V138"/>
    </row>
    <row r="139" spans="1:22">
      <c r="A139" s="285"/>
      <c r="B139" s="286" t="s">
        <v>594</v>
      </c>
      <c r="C139" s="287">
        <v>0.17716867982754447</v>
      </c>
      <c r="D139" s="288">
        <v>0.2187851866516537</v>
      </c>
      <c r="E139" s="288">
        <v>0.20732305106703314</v>
      </c>
      <c r="F139" s="288">
        <v>0.42150510839770744</v>
      </c>
      <c r="G139" s="288">
        <v>0</v>
      </c>
      <c r="H139" s="288">
        <v>0</v>
      </c>
      <c r="I139" s="288">
        <v>0</v>
      </c>
      <c r="J139" s="289">
        <v>0.18720532063803372</v>
      </c>
      <c r="K139" s="287">
        <v>0</v>
      </c>
      <c r="L139" s="288">
        <v>0</v>
      </c>
      <c r="M139" s="288">
        <v>0</v>
      </c>
      <c r="N139" s="288">
        <v>0</v>
      </c>
      <c r="O139" s="287">
        <v>0</v>
      </c>
      <c r="P139" s="287">
        <v>0</v>
      </c>
      <c r="Q139" s="288">
        <v>0</v>
      </c>
      <c r="R139" s="290">
        <v>0</v>
      </c>
      <c r="S139"/>
      <c r="T139"/>
      <c r="U139"/>
      <c r="V139"/>
    </row>
    <row r="140" spans="1:22">
      <c r="A140" s="285"/>
      <c r="B140" s="595" t="s">
        <v>595</v>
      </c>
      <c r="C140" s="596">
        <v>2.2637974828542045</v>
      </c>
      <c r="D140" s="597">
        <v>1.1479285437820592</v>
      </c>
      <c r="E140" s="597">
        <v>1.2063073953601595</v>
      </c>
      <c r="F140" s="597">
        <v>2.0214965461007983</v>
      </c>
      <c r="G140" s="597">
        <v>0</v>
      </c>
      <c r="H140" s="597">
        <v>0</v>
      </c>
      <c r="I140" s="597">
        <v>0</v>
      </c>
      <c r="J140" s="598">
        <v>2.1238011635761778</v>
      </c>
      <c r="K140" s="596">
        <v>0</v>
      </c>
      <c r="L140" s="597">
        <v>0</v>
      </c>
      <c r="M140" s="597">
        <v>0</v>
      </c>
      <c r="N140" s="597">
        <v>0</v>
      </c>
      <c r="O140" s="596">
        <v>0</v>
      </c>
      <c r="P140" s="599">
        <v>0</v>
      </c>
      <c r="Q140" s="597">
        <v>0</v>
      </c>
      <c r="R140" s="600">
        <v>0</v>
      </c>
      <c r="S140"/>
      <c r="T140"/>
      <c r="U140"/>
      <c r="V140"/>
    </row>
    <row r="141" spans="1:22">
      <c r="A141" s="285"/>
      <c r="B141" s="264" t="s">
        <v>596</v>
      </c>
      <c r="C141" s="281">
        <v>1.8886341013548556E-3</v>
      </c>
      <c r="D141" s="282">
        <v>3.1058350510217065E-2</v>
      </c>
      <c r="E141" s="282">
        <v>8.0460592189958522E-4</v>
      </c>
      <c r="F141" s="282">
        <v>0</v>
      </c>
      <c r="G141" s="282">
        <v>0</v>
      </c>
      <c r="H141" s="282">
        <v>0</v>
      </c>
      <c r="I141" s="282">
        <v>0</v>
      </c>
      <c r="J141" s="283">
        <v>3.6265507562532918E-3</v>
      </c>
      <c r="K141" s="281">
        <v>0</v>
      </c>
      <c r="L141" s="282">
        <v>0</v>
      </c>
      <c r="M141" s="282">
        <v>0</v>
      </c>
      <c r="N141" s="282">
        <v>0</v>
      </c>
      <c r="O141" s="281">
        <v>0</v>
      </c>
      <c r="P141" s="281">
        <v>0</v>
      </c>
      <c r="Q141" s="282">
        <v>0</v>
      </c>
      <c r="R141" s="284">
        <v>0</v>
      </c>
      <c r="S141"/>
      <c r="T141"/>
      <c r="U141"/>
      <c r="V141"/>
    </row>
    <row r="142" spans="1:22">
      <c r="A142" s="285"/>
      <c r="B142" s="286" t="s">
        <v>597</v>
      </c>
      <c r="C142" s="287">
        <v>6.3231139949357688E-4</v>
      </c>
      <c r="D142" s="288">
        <v>9.7625558346428436E-3</v>
      </c>
      <c r="E142" s="288">
        <v>2.0220234239596646E-3</v>
      </c>
      <c r="F142" s="288">
        <v>0</v>
      </c>
      <c r="G142" s="288">
        <v>0</v>
      </c>
      <c r="H142" s="288">
        <v>0</v>
      </c>
      <c r="I142" s="288">
        <v>0</v>
      </c>
      <c r="J142" s="289">
        <v>1.3293686882666013E-3</v>
      </c>
      <c r="K142" s="287">
        <v>0</v>
      </c>
      <c r="L142" s="288">
        <v>0</v>
      </c>
      <c r="M142" s="288">
        <v>0</v>
      </c>
      <c r="N142" s="288">
        <v>0</v>
      </c>
      <c r="O142" s="287">
        <v>0</v>
      </c>
      <c r="P142" s="287">
        <v>0</v>
      </c>
      <c r="Q142" s="288">
        <v>0</v>
      </c>
      <c r="R142" s="290">
        <v>0</v>
      </c>
      <c r="S142"/>
      <c r="T142"/>
      <c r="U142"/>
      <c r="V142"/>
    </row>
    <row r="143" spans="1:22">
      <c r="A143" s="285"/>
      <c r="B143" s="595" t="s">
        <v>598</v>
      </c>
      <c r="C143" s="596">
        <v>-0.12563227018612788</v>
      </c>
      <c r="D143" s="597">
        <v>-2.1295794675574222</v>
      </c>
      <c r="E143" s="597">
        <v>0.12174175020600794</v>
      </c>
      <c r="F143" s="597">
        <v>0</v>
      </c>
      <c r="G143" s="597">
        <v>0</v>
      </c>
      <c r="H143" s="597">
        <v>0</v>
      </c>
      <c r="I143" s="597">
        <v>0</v>
      </c>
      <c r="J143" s="598">
        <v>-0.22971820679866906</v>
      </c>
      <c r="K143" s="596">
        <v>0</v>
      </c>
      <c r="L143" s="597">
        <v>0</v>
      </c>
      <c r="M143" s="597">
        <v>0</v>
      </c>
      <c r="N143" s="597">
        <v>0</v>
      </c>
      <c r="O143" s="596">
        <v>0</v>
      </c>
      <c r="P143" s="599">
        <v>0</v>
      </c>
      <c r="Q143" s="597">
        <v>0</v>
      </c>
      <c r="R143" s="600">
        <v>0</v>
      </c>
      <c r="S143"/>
      <c r="T143"/>
      <c r="U143"/>
      <c r="V143"/>
    </row>
    <row r="144" spans="1:22">
      <c r="A144" s="285"/>
      <c r="B144" s="264" t="s">
        <v>599</v>
      </c>
      <c r="C144" s="281">
        <v>3.0505139106531094E-2</v>
      </c>
      <c r="D144" s="282">
        <v>1.5141104918950555E-2</v>
      </c>
      <c r="E144" s="282">
        <v>0</v>
      </c>
      <c r="F144" s="282">
        <v>0</v>
      </c>
      <c r="G144" s="282">
        <v>0</v>
      </c>
      <c r="H144" s="282">
        <v>0</v>
      </c>
      <c r="I144" s="282">
        <v>0</v>
      </c>
      <c r="J144" s="283">
        <v>2.6200728034550601E-2</v>
      </c>
      <c r="K144" s="281">
        <v>0</v>
      </c>
      <c r="L144" s="282">
        <v>0</v>
      </c>
      <c r="M144" s="282">
        <v>0</v>
      </c>
      <c r="N144" s="282">
        <v>0</v>
      </c>
      <c r="O144" s="281">
        <v>0</v>
      </c>
      <c r="P144" s="281">
        <v>0</v>
      </c>
      <c r="Q144" s="282">
        <v>0</v>
      </c>
      <c r="R144" s="284">
        <v>0</v>
      </c>
      <c r="S144"/>
      <c r="T144"/>
      <c r="U144"/>
      <c r="V144"/>
    </row>
    <row r="145" spans="1:22">
      <c r="A145" s="285"/>
      <c r="B145" s="286" t="s">
        <v>600</v>
      </c>
      <c r="C145" s="287">
        <v>4.5520681174434724E-2</v>
      </c>
      <c r="D145" s="288">
        <v>1.4699513728207476E-2</v>
      </c>
      <c r="E145" s="288">
        <v>2.0351534461931688E-2</v>
      </c>
      <c r="F145" s="288">
        <v>0</v>
      </c>
      <c r="G145" s="288">
        <v>0</v>
      </c>
      <c r="H145" s="288">
        <v>0</v>
      </c>
      <c r="I145" s="288">
        <v>0</v>
      </c>
      <c r="J145" s="289">
        <v>4.041011933476208E-2</v>
      </c>
      <c r="K145" s="287">
        <v>0</v>
      </c>
      <c r="L145" s="288">
        <v>0</v>
      </c>
      <c r="M145" s="288">
        <v>0</v>
      </c>
      <c r="N145" s="288">
        <v>0</v>
      </c>
      <c r="O145" s="287">
        <v>0</v>
      </c>
      <c r="P145" s="287">
        <v>0</v>
      </c>
      <c r="Q145" s="288">
        <v>0</v>
      </c>
      <c r="R145" s="290">
        <v>0</v>
      </c>
      <c r="S145"/>
      <c r="T145"/>
      <c r="U145"/>
      <c r="V145"/>
    </row>
    <row r="146" spans="1:22">
      <c r="A146" s="285"/>
      <c r="B146" s="595" t="s">
        <v>601</v>
      </c>
      <c r="C146" s="596">
        <v>1.5015542067903631</v>
      </c>
      <c r="D146" s="597">
        <v>-4.4159119074307918E-2</v>
      </c>
      <c r="E146" s="597">
        <v>0</v>
      </c>
      <c r="F146" s="597">
        <v>0</v>
      </c>
      <c r="G146" s="597">
        <v>0</v>
      </c>
      <c r="H146" s="597">
        <v>0</v>
      </c>
      <c r="I146" s="597">
        <v>0</v>
      </c>
      <c r="J146" s="598">
        <v>1.4209391300211478</v>
      </c>
      <c r="K146" s="596">
        <v>0</v>
      </c>
      <c r="L146" s="597">
        <v>0</v>
      </c>
      <c r="M146" s="597">
        <v>0</v>
      </c>
      <c r="N146" s="597">
        <v>0</v>
      </c>
      <c r="O146" s="596">
        <v>0</v>
      </c>
      <c r="P146" s="599">
        <v>0</v>
      </c>
      <c r="Q146" s="597">
        <v>0</v>
      </c>
      <c r="R146" s="600">
        <v>0</v>
      </c>
      <c r="S146"/>
      <c r="T146"/>
      <c r="U146"/>
      <c r="V146"/>
    </row>
    <row r="147" spans="1:22">
      <c r="A147" s="285"/>
      <c r="B147" s="264" t="s">
        <v>602</v>
      </c>
      <c r="C147" s="281">
        <v>2.9586957201381552E-6</v>
      </c>
      <c r="D147" s="282">
        <v>0</v>
      </c>
      <c r="E147" s="282">
        <v>0</v>
      </c>
      <c r="F147" s="282">
        <v>0</v>
      </c>
      <c r="G147" s="282">
        <v>0</v>
      </c>
      <c r="H147" s="282">
        <v>0</v>
      </c>
      <c r="I147" s="282">
        <v>0</v>
      </c>
      <c r="J147" s="283">
        <v>2.4470652876203049E-6</v>
      </c>
      <c r="K147" s="281">
        <v>0</v>
      </c>
      <c r="L147" s="282">
        <v>0</v>
      </c>
      <c r="M147" s="282">
        <v>0</v>
      </c>
      <c r="N147" s="282">
        <v>0</v>
      </c>
      <c r="O147" s="281">
        <v>0</v>
      </c>
      <c r="P147" s="281">
        <v>0</v>
      </c>
      <c r="Q147" s="282">
        <v>0</v>
      </c>
      <c r="R147" s="284">
        <v>0</v>
      </c>
      <c r="S147"/>
      <c r="T147"/>
      <c r="U147"/>
      <c r="V147"/>
    </row>
    <row r="148" spans="1:22">
      <c r="A148" s="285"/>
      <c r="B148" s="286" t="s">
        <v>603</v>
      </c>
      <c r="C148" s="287">
        <v>1.1192198750491453E-4</v>
      </c>
      <c r="D148" s="288">
        <v>0</v>
      </c>
      <c r="E148" s="288">
        <v>0</v>
      </c>
      <c r="F148" s="288">
        <v>0</v>
      </c>
      <c r="G148" s="288">
        <v>0</v>
      </c>
      <c r="H148" s="288">
        <v>0</v>
      </c>
      <c r="I148" s="288">
        <v>0</v>
      </c>
      <c r="J148" s="289">
        <v>9.2525958671738455E-5</v>
      </c>
      <c r="K148" s="287">
        <v>0</v>
      </c>
      <c r="L148" s="288">
        <v>0</v>
      </c>
      <c r="M148" s="288">
        <v>0</v>
      </c>
      <c r="N148" s="288">
        <v>0</v>
      </c>
      <c r="O148" s="287">
        <v>0</v>
      </c>
      <c r="P148" s="287">
        <v>0</v>
      </c>
      <c r="Q148" s="288">
        <v>0</v>
      </c>
      <c r="R148" s="290">
        <v>0</v>
      </c>
      <c r="S148"/>
      <c r="T148"/>
      <c r="U148"/>
      <c r="V148"/>
    </row>
    <row r="149" spans="1:22">
      <c r="A149" s="292"/>
      <c r="B149" s="595" t="s">
        <v>604</v>
      </c>
      <c r="C149" s="596">
        <v>1.0896329178477637E-2</v>
      </c>
      <c r="D149" s="597">
        <v>0</v>
      </c>
      <c r="E149" s="597">
        <v>0</v>
      </c>
      <c r="F149" s="597">
        <v>0</v>
      </c>
      <c r="G149" s="597">
        <v>0</v>
      </c>
      <c r="H149" s="597">
        <v>0</v>
      </c>
      <c r="I149" s="597">
        <v>0</v>
      </c>
      <c r="J149" s="598">
        <v>9.007889338411814E-3</v>
      </c>
      <c r="K149" s="596">
        <v>0</v>
      </c>
      <c r="L149" s="597">
        <v>0</v>
      </c>
      <c r="M149" s="597">
        <v>0</v>
      </c>
      <c r="N149" s="597">
        <v>0</v>
      </c>
      <c r="O149" s="596">
        <v>0</v>
      </c>
      <c r="P149" s="599">
        <v>0</v>
      </c>
      <c r="Q149" s="597">
        <v>0</v>
      </c>
      <c r="R149" s="600">
        <v>0</v>
      </c>
      <c r="S149"/>
      <c r="T149"/>
      <c r="U149"/>
      <c r="V149"/>
    </row>
    <row r="150" spans="1:22">
      <c r="A150" s="280" t="s">
        <v>145</v>
      </c>
      <c r="B150" s="264" t="s">
        <v>569</v>
      </c>
      <c r="C150" s="281">
        <v>0</v>
      </c>
      <c r="D150" s="282">
        <v>0</v>
      </c>
      <c r="E150" s="282">
        <v>0</v>
      </c>
      <c r="F150" s="282">
        <v>0</v>
      </c>
      <c r="G150" s="282">
        <v>0</v>
      </c>
      <c r="H150" s="282">
        <v>0</v>
      </c>
      <c r="I150" s="282">
        <v>0</v>
      </c>
      <c r="J150" s="283">
        <v>0</v>
      </c>
      <c r="K150" s="281">
        <v>0</v>
      </c>
      <c r="L150" s="282">
        <v>0</v>
      </c>
      <c r="M150" s="282">
        <v>0</v>
      </c>
      <c r="N150" s="282">
        <v>0</v>
      </c>
      <c r="O150" s="281">
        <v>0</v>
      </c>
      <c r="P150" s="281">
        <v>0.82455265234946373</v>
      </c>
      <c r="Q150" s="282">
        <v>0.89399140529272936</v>
      </c>
      <c r="R150" s="284">
        <v>0.82573859751351464</v>
      </c>
      <c r="S150"/>
      <c r="T150"/>
      <c r="U150"/>
      <c r="V150"/>
    </row>
    <row r="151" spans="1:22">
      <c r="A151" s="285"/>
      <c r="B151" s="286" t="s">
        <v>570</v>
      </c>
      <c r="C151" s="287">
        <v>0</v>
      </c>
      <c r="D151" s="288">
        <v>0</v>
      </c>
      <c r="E151" s="288">
        <v>0</v>
      </c>
      <c r="F151" s="288">
        <v>0</v>
      </c>
      <c r="G151" s="288">
        <v>0</v>
      </c>
      <c r="H151" s="288">
        <v>0</v>
      </c>
      <c r="I151" s="288">
        <v>0</v>
      </c>
      <c r="J151" s="289">
        <v>0</v>
      </c>
      <c r="K151" s="287">
        <v>0</v>
      </c>
      <c r="L151" s="288">
        <v>0</v>
      </c>
      <c r="M151" s="288">
        <v>0</v>
      </c>
      <c r="N151" s="288">
        <v>0</v>
      </c>
      <c r="O151" s="287">
        <v>0</v>
      </c>
      <c r="P151" s="287">
        <v>0.79379159441746017</v>
      </c>
      <c r="Q151" s="288">
        <v>0.83608487410697563</v>
      </c>
      <c r="R151" s="290">
        <v>0.79412985733511665</v>
      </c>
      <c r="S151"/>
      <c r="T151"/>
      <c r="U151"/>
      <c r="V151"/>
    </row>
    <row r="152" spans="1:22">
      <c r="A152" s="285"/>
      <c r="B152" s="595" t="s">
        <v>571</v>
      </c>
      <c r="C152" s="596">
        <v>0</v>
      </c>
      <c r="D152" s="597">
        <v>0</v>
      </c>
      <c r="E152" s="597">
        <v>0</v>
      </c>
      <c r="F152" s="597">
        <v>0</v>
      </c>
      <c r="G152" s="597">
        <v>0</v>
      </c>
      <c r="H152" s="597">
        <v>0</v>
      </c>
      <c r="I152" s="597">
        <v>0</v>
      </c>
      <c r="J152" s="598">
        <v>0</v>
      </c>
      <c r="K152" s="596">
        <v>0</v>
      </c>
      <c r="L152" s="597">
        <v>0</v>
      </c>
      <c r="M152" s="597">
        <v>0</v>
      </c>
      <c r="N152" s="597">
        <v>0</v>
      </c>
      <c r="O152" s="596">
        <v>0</v>
      </c>
      <c r="P152" s="599">
        <v>-3.0761057932003566</v>
      </c>
      <c r="Q152" s="597">
        <v>-5.7906531185753725</v>
      </c>
      <c r="R152" s="600">
        <v>-3.1608740178397987</v>
      </c>
      <c r="S152"/>
      <c r="T152"/>
      <c r="U152"/>
      <c r="V152"/>
    </row>
    <row r="153" spans="1:22">
      <c r="A153" s="285"/>
      <c r="B153" s="264" t="s">
        <v>572</v>
      </c>
      <c r="C153" s="281">
        <v>0</v>
      </c>
      <c r="D153" s="282">
        <v>0</v>
      </c>
      <c r="E153" s="282">
        <v>0</v>
      </c>
      <c r="F153" s="282">
        <v>0</v>
      </c>
      <c r="G153" s="282">
        <v>0</v>
      </c>
      <c r="H153" s="282">
        <v>0</v>
      </c>
      <c r="I153" s="282">
        <v>0</v>
      </c>
      <c r="J153" s="283">
        <v>0</v>
      </c>
      <c r="K153" s="281">
        <v>0</v>
      </c>
      <c r="L153" s="282">
        <v>0</v>
      </c>
      <c r="M153" s="282">
        <v>0</v>
      </c>
      <c r="N153" s="282">
        <v>0</v>
      </c>
      <c r="O153" s="281">
        <v>0</v>
      </c>
      <c r="P153" s="281">
        <v>0</v>
      </c>
      <c r="Q153" s="282">
        <v>0</v>
      </c>
      <c r="R153" s="284">
        <v>0</v>
      </c>
      <c r="S153"/>
      <c r="T153"/>
      <c r="U153"/>
      <c r="V153"/>
    </row>
    <row r="154" spans="1:22">
      <c r="A154" s="285"/>
      <c r="B154" s="286" t="s">
        <v>573</v>
      </c>
      <c r="C154" s="287">
        <v>0</v>
      </c>
      <c r="D154" s="288">
        <v>0</v>
      </c>
      <c r="E154" s="288">
        <v>0</v>
      </c>
      <c r="F154" s="288">
        <v>0</v>
      </c>
      <c r="G154" s="288">
        <v>0</v>
      </c>
      <c r="H154" s="288">
        <v>0</v>
      </c>
      <c r="I154" s="288">
        <v>0</v>
      </c>
      <c r="J154" s="289">
        <v>0</v>
      </c>
      <c r="K154" s="287">
        <v>0</v>
      </c>
      <c r="L154" s="288">
        <v>0</v>
      </c>
      <c r="M154" s="288">
        <v>0</v>
      </c>
      <c r="N154" s="288">
        <v>0</v>
      </c>
      <c r="O154" s="287">
        <v>0</v>
      </c>
      <c r="P154" s="287">
        <v>0</v>
      </c>
      <c r="Q154" s="288">
        <v>0</v>
      </c>
      <c r="R154" s="290">
        <v>0</v>
      </c>
      <c r="S154"/>
      <c r="T154"/>
      <c r="U154"/>
      <c r="V154"/>
    </row>
    <row r="155" spans="1:22">
      <c r="A155" s="285"/>
      <c r="B155" s="595" t="s">
        <v>574</v>
      </c>
      <c r="C155" s="596">
        <v>0</v>
      </c>
      <c r="D155" s="597">
        <v>0</v>
      </c>
      <c r="E155" s="597">
        <v>0</v>
      </c>
      <c r="F155" s="597">
        <v>0</v>
      </c>
      <c r="G155" s="597">
        <v>0</v>
      </c>
      <c r="H155" s="597">
        <v>0</v>
      </c>
      <c r="I155" s="597">
        <v>0</v>
      </c>
      <c r="J155" s="598">
        <v>0</v>
      </c>
      <c r="K155" s="596">
        <v>0</v>
      </c>
      <c r="L155" s="597">
        <v>0</v>
      </c>
      <c r="M155" s="597">
        <v>0</v>
      </c>
      <c r="N155" s="597">
        <v>0</v>
      </c>
      <c r="O155" s="596">
        <v>0</v>
      </c>
      <c r="P155" s="599">
        <v>0</v>
      </c>
      <c r="Q155" s="597">
        <v>0</v>
      </c>
      <c r="R155" s="600">
        <v>0</v>
      </c>
      <c r="S155"/>
      <c r="T155"/>
      <c r="U155"/>
      <c r="V155"/>
    </row>
    <row r="156" spans="1:22">
      <c r="A156" s="285"/>
      <c r="B156" s="264" t="s">
        <v>575</v>
      </c>
      <c r="C156" s="281">
        <v>0</v>
      </c>
      <c r="D156" s="282">
        <v>0</v>
      </c>
      <c r="E156" s="282">
        <v>0</v>
      </c>
      <c r="F156" s="282">
        <v>0</v>
      </c>
      <c r="G156" s="282">
        <v>0</v>
      </c>
      <c r="H156" s="282">
        <v>0</v>
      </c>
      <c r="I156" s="282">
        <v>0</v>
      </c>
      <c r="J156" s="283">
        <v>0</v>
      </c>
      <c r="K156" s="281">
        <v>0</v>
      </c>
      <c r="L156" s="282">
        <v>0</v>
      </c>
      <c r="M156" s="282">
        <v>0</v>
      </c>
      <c r="N156" s="282">
        <v>0</v>
      </c>
      <c r="O156" s="281">
        <v>0</v>
      </c>
      <c r="P156" s="281">
        <v>0.1733668738048367</v>
      </c>
      <c r="Q156" s="282">
        <v>0.10600859470727064</v>
      </c>
      <c r="R156" s="284">
        <v>0.17221646107464525</v>
      </c>
      <c r="S156"/>
      <c r="T156"/>
      <c r="U156"/>
      <c r="V156"/>
    </row>
    <row r="157" spans="1:22">
      <c r="A157" s="285"/>
      <c r="B157" s="286" t="s">
        <v>576</v>
      </c>
      <c r="C157" s="287">
        <v>0</v>
      </c>
      <c r="D157" s="288">
        <v>0</v>
      </c>
      <c r="E157" s="288">
        <v>0</v>
      </c>
      <c r="F157" s="288">
        <v>0</v>
      </c>
      <c r="G157" s="288">
        <v>0</v>
      </c>
      <c r="H157" s="288">
        <v>0</v>
      </c>
      <c r="I157" s="288">
        <v>0</v>
      </c>
      <c r="J157" s="289">
        <v>0</v>
      </c>
      <c r="K157" s="287">
        <v>0</v>
      </c>
      <c r="L157" s="288">
        <v>0</v>
      </c>
      <c r="M157" s="288">
        <v>0</v>
      </c>
      <c r="N157" s="288">
        <v>0</v>
      </c>
      <c r="O157" s="287">
        <v>0</v>
      </c>
      <c r="P157" s="287">
        <v>0.20420491190549636</v>
      </c>
      <c r="Q157" s="288">
        <v>0.16391512589302437</v>
      </c>
      <c r="R157" s="290">
        <v>0.20388267299027427</v>
      </c>
      <c r="S157"/>
      <c r="T157"/>
      <c r="U157"/>
      <c r="V157"/>
    </row>
    <row r="158" spans="1:22">
      <c r="A158" s="285"/>
      <c r="B158" s="595" t="s">
        <v>577</v>
      </c>
      <c r="C158" s="596">
        <v>0</v>
      </c>
      <c r="D158" s="597">
        <v>0</v>
      </c>
      <c r="E158" s="597">
        <v>0</v>
      </c>
      <c r="F158" s="597">
        <v>0</v>
      </c>
      <c r="G158" s="597">
        <v>0</v>
      </c>
      <c r="H158" s="597">
        <v>0</v>
      </c>
      <c r="I158" s="597">
        <v>0</v>
      </c>
      <c r="J158" s="598">
        <v>0</v>
      </c>
      <c r="K158" s="596">
        <v>0</v>
      </c>
      <c r="L158" s="597">
        <v>0</v>
      </c>
      <c r="M158" s="597">
        <v>0</v>
      </c>
      <c r="N158" s="597">
        <v>0</v>
      </c>
      <c r="O158" s="596">
        <v>0</v>
      </c>
      <c r="P158" s="599">
        <v>3.0838038100659659</v>
      </c>
      <c r="Q158" s="597">
        <v>5.7906531185753725</v>
      </c>
      <c r="R158" s="600">
        <v>3.1666211915629017</v>
      </c>
      <c r="S158"/>
      <c r="T158"/>
      <c r="U158"/>
      <c r="V158"/>
    </row>
    <row r="159" spans="1:22">
      <c r="A159" s="285"/>
      <c r="B159" s="264" t="s">
        <v>578</v>
      </c>
      <c r="C159" s="281">
        <v>0</v>
      </c>
      <c r="D159" s="282">
        <v>0</v>
      </c>
      <c r="E159" s="282">
        <v>0</v>
      </c>
      <c r="F159" s="282">
        <v>0</v>
      </c>
      <c r="G159" s="282">
        <v>0</v>
      </c>
      <c r="H159" s="282">
        <v>0</v>
      </c>
      <c r="I159" s="282">
        <v>0</v>
      </c>
      <c r="J159" s="283">
        <v>0</v>
      </c>
      <c r="K159" s="281">
        <v>0</v>
      </c>
      <c r="L159" s="282">
        <v>0</v>
      </c>
      <c r="M159" s="282">
        <v>0</v>
      </c>
      <c r="N159" s="282">
        <v>0</v>
      </c>
      <c r="O159" s="281">
        <v>0</v>
      </c>
      <c r="P159" s="281">
        <v>2.0025411686408678E-3</v>
      </c>
      <c r="Q159" s="282">
        <v>0</v>
      </c>
      <c r="R159" s="284">
        <v>1.9683397477613341E-3</v>
      </c>
      <c r="S159"/>
      <c r="T159"/>
      <c r="U159"/>
      <c r="V159"/>
    </row>
    <row r="160" spans="1:22">
      <c r="A160" s="285"/>
      <c r="B160" s="286" t="s">
        <v>579</v>
      </c>
      <c r="C160" s="287">
        <v>0</v>
      </c>
      <c r="D160" s="288">
        <v>0</v>
      </c>
      <c r="E160" s="288">
        <v>0</v>
      </c>
      <c r="F160" s="288">
        <v>0</v>
      </c>
      <c r="G160" s="288">
        <v>0</v>
      </c>
      <c r="H160" s="288">
        <v>0</v>
      </c>
      <c r="I160" s="288">
        <v>0</v>
      </c>
      <c r="J160" s="289">
        <v>0</v>
      </c>
      <c r="K160" s="287">
        <v>0</v>
      </c>
      <c r="L160" s="288">
        <v>0</v>
      </c>
      <c r="M160" s="288">
        <v>0</v>
      </c>
      <c r="N160" s="288">
        <v>0</v>
      </c>
      <c r="O160" s="287">
        <v>0</v>
      </c>
      <c r="P160" s="287">
        <v>2.0034936770434207E-3</v>
      </c>
      <c r="Q160" s="288">
        <v>0</v>
      </c>
      <c r="R160" s="290">
        <v>1.9874696746090335E-3</v>
      </c>
      <c r="S160"/>
      <c r="T160"/>
      <c r="U160"/>
      <c r="V160"/>
    </row>
    <row r="161" spans="1:22">
      <c r="A161" s="285"/>
      <c r="B161" s="595" t="s">
        <v>580</v>
      </c>
      <c r="C161" s="596">
        <v>0</v>
      </c>
      <c r="D161" s="597">
        <v>0</v>
      </c>
      <c r="E161" s="597">
        <v>0</v>
      </c>
      <c r="F161" s="597">
        <v>0</v>
      </c>
      <c r="G161" s="597">
        <v>0</v>
      </c>
      <c r="H161" s="597">
        <v>0</v>
      </c>
      <c r="I161" s="597">
        <v>0</v>
      </c>
      <c r="J161" s="598">
        <v>0</v>
      </c>
      <c r="K161" s="596">
        <v>0</v>
      </c>
      <c r="L161" s="597">
        <v>0</v>
      </c>
      <c r="M161" s="597">
        <v>0</v>
      </c>
      <c r="N161" s="597">
        <v>0</v>
      </c>
      <c r="O161" s="596">
        <v>0</v>
      </c>
      <c r="P161" s="599">
        <v>9.5250840255294011E-5</v>
      </c>
      <c r="Q161" s="597">
        <v>0</v>
      </c>
      <c r="R161" s="600">
        <v>1.9129926847699392E-3</v>
      </c>
      <c r="S161"/>
      <c r="T161"/>
      <c r="U161"/>
      <c r="V161"/>
    </row>
    <row r="162" spans="1:22">
      <c r="A162" s="285"/>
      <c r="B162" s="264" t="s">
        <v>581</v>
      </c>
      <c r="C162" s="281">
        <v>0</v>
      </c>
      <c r="D162" s="282">
        <v>0</v>
      </c>
      <c r="E162" s="282">
        <v>0</v>
      </c>
      <c r="F162" s="282">
        <v>0</v>
      </c>
      <c r="G162" s="282">
        <v>0</v>
      </c>
      <c r="H162" s="282">
        <v>0</v>
      </c>
      <c r="I162" s="282">
        <v>0</v>
      </c>
      <c r="J162" s="283">
        <v>0</v>
      </c>
      <c r="K162" s="281">
        <v>0</v>
      </c>
      <c r="L162" s="282">
        <v>0</v>
      </c>
      <c r="M162" s="282">
        <v>0</v>
      </c>
      <c r="N162" s="282">
        <v>0</v>
      </c>
      <c r="O162" s="281">
        <v>0</v>
      </c>
      <c r="P162" s="281">
        <v>7.7932677058817023E-5</v>
      </c>
      <c r="Q162" s="282">
        <v>0</v>
      </c>
      <c r="R162" s="284">
        <v>7.6601664078860973E-5</v>
      </c>
      <c r="S162"/>
      <c r="T162"/>
      <c r="U162"/>
      <c r="V162"/>
    </row>
    <row r="163" spans="1:22">
      <c r="A163" s="285"/>
      <c r="B163" s="286" t="s">
        <v>582</v>
      </c>
      <c r="C163" s="287">
        <v>0</v>
      </c>
      <c r="D163" s="288">
        <v>0</v>
      </c>
      <c r="E163" s="288">
        <v>0</v>
      </c>
      <c r="F163" s="288">
        <v>0</v>
      </c>
      <c r="G163" s="288">
        <v>0</v>
      </c>
      <c r="H163" s="288">
        <v>0</v>
      </c>
      <c r="I163" s="288">
        <v>0</v>
      </c>
      <c r="J163" s="289">
        <v>0</v>
      </c>
      <c r="K163" s="287">
        <v>0</v>
      </c>
      <c r="L163" s="288">
        <v>0</v>
      </c>
      <c r="M163" s="288">
        <v>0</v>
      </c>
      <c r="N163" s="288">
        <v>0</v>
      </c>
      <c r="O163" s="287">
        <v>0</v>
      </c>
      <c r="P163" s="287">
        <v>0</v>
      </c>
      <c r="Q163" s="288">
        <v>0</v>
      </c>
      <c r="R163" s="290">
        <v>0</v>
      </c>
      <c r="S163"/>
      <c r="T163"/>
      <c r="U163"/>
      <c r="V163"/>
    </row>
    <row r="164" spans="1:22">
      <c r="A164" s="285"/>
      <c r="B164" s="595" t="s">
        <v>583</v>
      </c>
      <c r="C164" s="596">
        <v>0</v>
      </c>
      <c r="D164" s="597">
        <v>0</v>
      </c>
      <c r="E164" s="597">
        <v>0</v>
      </c>
      <c r="F164" s="597">
        <v>0</v>
      </c>
      <c r="G164" s="597">
        <v>0</v>
      </c>
      <c r="H164" s="597">
        <v>0</v>
      </c>
      <c r="I164" s="597">
        <v>0</v>
      </c>
      <c r="J164" s="598">
        <v>0</v>
      </c>
      <c r="K164" s="596">
        <v>0</v>
      </c>
      <c r="L164" s="597">
        <v>0</v>
      </c>
      <c r="M164" s="597">
        <v>0</v>
      </c>
      <c r="N164" s="597">
        <v>0</v>
      </c>
      <c r="O164" s="596">
        <v>0</v>
      </c>
      <c r="P164" s="599">
        <v>-7.7932677058817025E-3</v>
      </c>
      <c r="Q164" s="597">
        <v>0</v>
      </c>
      <c r="R164" s="600">
        <v>-7.6601664078860977E-3</v>
      </c>
      <c r="S164"/>
      <c r="T164"/>
      <c r="U164"/>
      <c r="V164"/>
    </row>
    <row r="165" spans="1:22">
      <c r="A165" s="285"/>
      <c r="B165" s="264" t="s">
        <v>584</v>
      </c>
      <c r="C165" s="281">
        <v>0</v>
      </c>
      <c r="D165" s="282">
        <v>0</v>
      </c>
      <c r="E165" s="282">
        <v>0</v>
      </c>
      <c r="F165" s="282">
        <v>0</v>
      </c>
      <c r="G165" s="282">
        <v>0</v>
      </c>
      <c r="H165" s="282">
        <v>0</v>
      </c>
      <c r="I165" s="282">
        <v>0</v>
      </c>
      <c r="J165" s="283">
        <v>0</v>
      </c>
      <c r="K165" s="281">
        <v>0</v>
      </c>
      <c r="L165" s="282">
        <v>0</v>
      </c>
      <c r="M165" s="282">
        <v>0</v>
      </c>
      <c r="N165" s="282">
        <v>0</v>
      </c>
      <c r="O165" s="281">
        <v>0</v>
      </c>
      <c r="P165" s="281">
        <v>0</v>
      </c>
      <c r="Q165" s="282">
        <v>0</v>
      </c>
      <c r="R165" s="284">
        <v>0</v>
      </c>
      <c r="S165"/>
      <c r="T165"/>
      <c r="U165"/>
      <c r="V165"/>
    </row>
    <row r="166" spans="1:22">
      <c r="A166" s="285"/>
      <c r="B166" s="286" t="s">
        <v>585</v>
      </c>
      <c r="C166" s="287">
        <v>0</v>
      </c>
      <c r="D166" s="288">
        <v>0</v>
      </c>
      <c r="E166" s="288">
        <v>0</v>
      </c>
      <c r="F166" s="288">
        <v>0</v>
      </c>
      <c r="G166" s="288">
        <v>0</v>
      </c>
      <c r="H166" s="288">
        <v>0</v>
      </c>
      <c r="I166" s="288">
        <v>0</v>
      </c>
      <c r="J166" s="289">
        <v>0</v>
      </c>
      <c r="K166" s="287">
        <v>0</v>
      </c>
      <c r="L166" s="288">
        <v>0</v>
      </c>
      <c r="M166" s="288">
        <v>0</v>
      </c>
      <c r="N166" s="288">
        <v>0</v>
      </c>
      <c r="O166" s="287">
        <v>0</v>
      </c>
      <c r="P166" s="287">
        <v>0</v>
      </c>
      <c r="Q166" s="288">
        <v>0</v>
      </c>
      <c r="R166" s="290">
        <v>0</v>
      </c>
      <c r="S166"/>
      <c r="T166"/>
      <c r="U166"/>
      <c r="V166"/>
    </row>
    <row r="167" spans="1:22">
      <c r="A167" s="285"/>
      <c r="B167" s="595" t="s">
        <v>586</v>
      </c>
      <c r="C167" s="596">
        <v>0</v>
      </c>
      <c r="D167" s="597">
        <v>0</v>
      </c>
      <c r="E167" s="597">
        <v>0</v>
      </c>
      <c r="F167" s="597">
        <v>0</v>
      </c>
      <c r="G167" s="597">
        <v>0</v>
      </c>
      <c r="H167" s="597">
        <v>0</v>
      </c>
      <c r="I167" s="597">
        <v>0</v>
      </c>
      <c r="J167" s="598">
        <v>0</v>
      </c>
      <c r="K167" s="596">
        <v>0</v>
      </c>
      <c r="L167" s="597">
        <v>0</v>
      </c>
      <c r="M167" s="597">
        <v>0</v>
      </c>
      <c r="N167" s="597">
        <v>0</v>
      </c>
      <c r="O167" s="596">
        <v>0</v>
      </c>
      <c r="P167" s="599">
        <v>0</v>
      </c>
      <c r="Q167" s="597">
        <v>0</v>
      </c>
      <c r="R167" s="600">
        <v>0</v>
      </c>
      <c r="S167"/>
      <c r="T167"/>
      <c r="U167"/>
      <c r="V167"/>
    </row>
    <row r="168" spans="1:22">
      <c r="A168" s="285"/>
      <c r="B168" s="264" t="s">
        <v>587</v>
      </c>
      <c r="C168" s="281">
        <v>0</v>
      </c>
      <c r="D168" s="282">
        <v>0</v>
      </c>
      <c r="E168" s="282">
        <v>0</v>
      </c>
      <c r="F168" s="282">
        <v>0</v>
      </c>
      <c r="G168" s="282">
        <v>0</v>
      </c>
      <c r="H168" s="282">
        <v>0</v>
      </c>
      <c r="I168" s="282">
        <v>0</v>
      </c>
      <c r="J168" s="283">
        <v>0</v>
      </c>
      <c r="K168" s="281">
        <v>0</v>
      </c>
      <c r="L168" s="282">
        <v>0</v>
      </c>
      <c r="M168" s="282">
        <v>0</v>
      </c>
      <c r="N168" s="282">
        <v>0</v>
      </c>
      <c r="O168" s="281">
        <v>0</v>
      </c>
      <c r="P168" s="281">
        <v>0</v>
      </c>
      <c r="Q168" s="282">
        <v>0</v>
      </c>
      <c r="R168" s="284">
        <v>0</v>
      </c>
      <c r="S168"/>
      <c r="T168"/>
      <c r="U168"/>
      <c r="V168"/>
    </row>
    <row r="169" spans="1:22">
      <c r="A169" s="285"/>
      <c r="B169" s="286" t="s">
        <v>588</v>
      </c>
      <c r="C169" s="287">
        <v>0</v>
      </c>
      <c r="D169" s="288">
        <v>0</v>
      </c>
      <c r="E169" s="288">
        <v>0</v>
      </c>
      <c r="F169" s="288">
        <v>0</v>
      </c>
      <c r="G169" s="288">
        <v>0</v>
      </c>
      <c r="H169" s="288">
        <v>0</v>
      </c>
      <c r="I169" s="288">
        <v>0</v>
      </c>
      <c r="J169" s="289">
        <v>0</v>
      </c>
      <c r="K169" s="287">
        <v>0</v>
      </c>
      <c r="L169" s="288">
        <v>0</v>
      </c>
      <c r="M169" s="288">
        <v>0</v>
      </c>
      <c r="N169" s="288">
        <v>0</v>
      </c>
      <c r="O169" s="287">
        <v>0</v>
      </c>
      <c r="P169" s="287">
        <v>0</v>
      </c>
      <c r="Q169" s="288">
        <v>0</v>
      </c>
      <c r="R169" s="290">
        <v>0</v>
      </c>
      <c r="S169"/>
      <c r="T169"/>
      <c r="U169"/>
      <c r="V169"/>
    </row>
    <row r="170" spans="1:22">
      <c r="A170" s="285"/>
      <c r="B170" s="595" t="s">
        <v>589</v>
      </c>
      <c r="C170" s="596">
        <v>0</v>
      </c>
      <c r="D170" s="597">
        <v>0</v>
      </c>
      <c r="E170" s="597">
        <v>0</v>
      </c>
      <c r="F170" s="597">
        <v>0</v>
      </c>
      <c r="G170" s="597">
        <v>0</v>
      </c>
      <c r="H170" s="597">
        <v>0</v>
      </c>
      <c r="I170" s="597">
        <v>0</v>
      </c>
      <c r="J170" s="598">
        <v>0</v>
      </c>
      <c r="K170" s="596">
        <v>0</v>
      </c>
      <c r="L170" s="597">
        <v>0</v>
      </c>
      <c r="M170" s="597">
        <v>0</v>
      </c>
      <c r="N170" s="597">
        <v>0</v>
      </c>
      <c r="O170" s="596">
        <v>0</v>
      </c>
      <c r="P170" s="599">
        <v>0</v>
      </c>
      <c r="Q170" s="597">
        <v>0</v>
      </c>
      <c r="R170" s="600">
        <v>0</v>
      </c>
      <c r="S170"/>
      <c r="T170"/>
      <c r="U170"/>
      <c r="V170"/>
    </row>
    <row r="171" spans="1:22">
      <c r="A171" s="285"/>
      <c r="B171" s="264" t="s">
        <v>590</v>
      </c>
      <c r="C171" s="281">
        <v>0</v>
      </c>
      <c r="D171" s="282">
        <v>0</v>
      </c>
      <c r="E171" s="282">
        <v>0</v>
      </c>
      <c r="F171" s="282">
        <v>0</v>
      </c>
      <c r="G171" s="282">
        <v>0</v>
      </c>
      <c r="H171" s="282">
        <v>0</v>
      </c>
      <c r="I171" s="282">
        <v>0</v>
      </c>
      <c r="J171" s="283">
        <v>0</v>
      </c>
      <c r="K171" s="281">
        <v>0</v>
      </c>
      <c r="L171" s="282">
        <v>0</v>
      </c>
      <c r="M171" s="282">
        <v>0</v>
      </c>
      <c r="N171" s="282">
        <v>0</v>
      </c>
      <c r="O171" s="281">
        <v>0</v>
      </c>
      <c r="P171" s="281">
        <v>0</v>
      </c>
      <c r="Q171" s="282">
        <v>0</v>
      </c>
      <c r="R171" s="284">
        <v>0</v>
      </c>
      <c r="S171"/>
      <c r="T171"/>
      <c r="U171"/>
      <c r="V171"/>
    </row>
    <row r="172" spans="1:22">
      <c r="A172" s="285"/>
      <c r="B172" s="286" t="s">
        <v>591</v>
      </c>
      <c r="C172" s="287">
        <v>0</v>
      </c>
      <c r="D172" s="288">
        <v>0</v>
      </c>
      <c r="E172" s="288">
        <v>0</v>
      </c>
      <c r="F172" s="288">
        <v>0</v>
      </c>
      <c r="G172" s="288">
        <v>0</v>
      </c>
      <c r="H172" s="288">
        <v>0</v>
      </c>
      <c r="I172" s="288">
        <v>0</v>
      </c>
      <c r="J172" s="289">
        <v>0</v>
      </c>
      <c r="K172" s="287">
        <v>0</v>
      </c>
      <c r="L172" s="288">
        <v>0</v>
      </c>
      <c r="M172" s="288">
        <v>0</v>
      </c>
      <c r="N172" s="288">
        <v>0</v>
      </c>
      <c r="O172" s="287">
        <v>0</v>
      </c>
      <c r="P172" s="287">
        <v>0</v>
      </c>
      <c r="Q172" s="288">
        <v>0</v>
      </c>
      <c r="R172" s="290">
        <v>0</v>
      </c>
      <c r="S172"/>
      <c r="T172"/>
      <c r="U172"/>
      <c r="V172"/>
    </row>
    <row r="173" spans="1:22">
      <c r="A173" s="285"/>
      <c r="B173" s="595" t="s">
        <v>592</v>
      </c>
      <c r="C173" s="596">
        <v>0</v>
      </c>
      <c r="D173" s="597">
        <v>0</v>
      </c>
      <c r="E173" s="597">
        <v>0</v>
      </c>
      <c r="F173" s="597">
        <v>0</v>
      </c>
      <c r="G173" s="597">
        <v>0</v>
      </c>
      <c r="H173" s="597">
        <v>0</v>
      </c>
      <c r="I173" s="597">
        <v>0</v>
      </c>
      <c r="J173" s="598">
        <v>0</v>
      </c>
      <c r="K173" s="596">
        <v>0</v>
      </c>
      <c r="L173" s="597">
        <v>0</v>
      </c>
      <c r="M173" s="597">
        <v>0</v>
      </c>
      <c r="N173" s="597">
        <v>0</v>
      </c>
      <c r="O173" s="596">
        <v>0</v>
      </c>
      <c r="P173" s="599">
        <v>0</v>
      </c>
      <c r="Q173" s="597">
        <v>0</v>
      </c>
      <c r="R173" s="600">
        <v>0</v>
      </c>
      <c r="S173"/>
      <c r="T173"/>
      <c r="U173"/>
      <c r="V173"/>
    </row>
    <row r="174" spans="1:22">
      <c r="A174" s="285"/>
      <c r="B174" s="264" t="s">
        <v>593</v>
      </c>
      <c r="C174" s="281">
        <v>0</v>
      </c>
      <c r="D174" s="282">
        <v>0</v>
      </c>
      <c r="E174" s="282">
        <v>0</v>
      </c>
      <c r="F174" s="282">
        <v>0</v>
      </c>
      <c r="G174" s="282">
        <v>0</v>
      </c>
      <c r="H174" s="282">
        <v>0</v>
      </c>
      <c r="I174" s="282">
        <v>0</v>
      </c>
      <c r="J174" s="283">
        <v>0</v>
      </c>
      <c r="K174" s="281">
        <v>0</v>
      </c>
      <c r="L174" s="282">
        <v>0</v>
      </c>
      <c r="M174" s="282">
        <v>0</v>
      </c>
      <c r="N174" s="282">
        <v>0</v>
      </c>
      <c r="O174" s="281">
        <v>0</v>
      </c>
      <c r="P174" s="281">
        <v>0</v>
      </c>
      <c r="Q174" s="282">
        <v>0</v>
      </c>
      <c r="R174" s="284">
        <v>0</v>
      </c>
      <c r="S174"/>
      <c r="T174"/>
      <c r="U174"/>
      <c r="V174"/>
    </row>
    <row r="175" spans="1:22">
      <c r="A175" s="285"/>
      <c r="B175" s="286" t="s">
        <v>594</v>
      </c>
      <c r="C175" s="287">
        <v>0</v>
      </c>
      <c r="D175" s="288">
        <v>0</v>
      </c>
      <c r="E175" s="288">
        <v>0</v>
      </c>
      <c r="F175" s="288">
        <v>0</v>
      </c>
      <c r="G175" s="288">
        <v>0</v>
      </c>
      <c r="H175" s="288">
        <v>0</v>
      </c>
      <c r="I175" s="288">
        <v>0</v>
      </c>
      <c r="J175" s="289">
        <v>0</v>
      </c>
      <c r="K175" s="287">
        <v>0</v>
      </c>
      <c r="L175" s="288">
        <v>0</v>
      </c>
      <c r="M175" s="288">
        <v>0</v>
      </c>
      <c r="N175" s="288">
        <v>0</v>
      </c>
      <c r="O175" s="287">
        <v>0</v>
      </c>
      <c r="P175" s="287">
        <v>0</v>
      </c>
      <c r="Q175" s="288">
        <v>0</v>
      </c>
      <c r="R175" s="290">
        <v>0</v>
      </c>
      <c r="S175"/>
      <c r="T175"/>
      <c r="U175"/>
      <c r="V175"/>
    </row>
    <row r="176" spans="1:22">
      <c r="A176" s="285"/>
      <c r="B176" s="595" t="s">
        <v>595</v>
      </c>
      <c r="C176" s="596">
        <v>0</v>
      </c>
      <c r="D176" s="597">
        <v>0</v>
      </c>
      <c r="E176" s="597">
        <v>0</v>
      </c>
      <c r="F176" s="597">
        <v>0</v>
      </c>
      <c r="G176" s="597">
        <v>0</v>
      </c>
      <c r="H176" s="597">
        <v>0</v>
      </c>
      <c r="I176" s="597">
        <v>0</v>
      </c>
      <c r="J176" s="598">
        <v>0</v>
      </c>
      <c r="K176" s="596">
        <v>0</v>
      </c>
      <c r="L176" s="597">
        <v>0</v>
      </c>
      <c r="M176" s="597">
        <v>0</v>
      </c>
      <c r="N176" s="597">
        <v>0</v>
      </c>
      <c r="O176" s="596">
        <v>0</v>
      </c>
      <c r="P176" s="599">
        <v>0</v>
      </c>
      <c r="Q176" s="597">
        <v>0</v>
      </c>
      <c r="R176" s="600">
        <v>0</v>
      </c>
      <c r="S176"/>
      <c r="T176"/>
      <c r="U176"/>
      <c r="V176"/>
    </row>
    <row r="177" spans="1:22">
      <c r="A177" s="285"/>
      <c r="B177" s="264" t="s">
        <v>596</v>
      </c>
      <c r="C177" s="281">
        <v>0</v>
      </c>
      <c r="D177" s="282">
        <v>0</v>
      </c>
      <c r="E177" s="282">
        <v>0</v>
      </c>
      <c r="F177" s="282">
        <v>0</v>
      </c>
      <c r="G177" s="282">
        <v>0</v>
      </c>
      <c r="H177" s="282">
        <v>0</v>
      </c>
      <c r="I177" s="282">
        <v>0</v>
      </c>
      <c r="J177" s="283">
        <v>0</v>
      </c>
      <c r="K177" s="281">
        <v>0</v>
      </c>
      <c r="L177" s="282">
        <v>0</v>
      </c>
      <c r="M177" s="282">
        <v>0</v>
      </c>
      <c r="N177" s="282">
        <v>0</v>
      </c>
      <c r="O177" s="281">
        <v>0</v>
      </c>
      <c r="P177" s="281">
        <v>0</v>
      </c>
      <c r="Q177" s="282">
        <v>0</v>
      </c>
      <c r="R177" s="284">
        <v>0</v>
      </c>
      <c r="S177"/>
      <c r="T177"/>
      <c r="U177"/>
      <c r="V177"/>
    </row>
    <row r="178" spans="1:22">
      <c r="A178" s="285"/>
      <c r="B178" s="286" t="s">
        <v>597</v>
      </c>
      <c r="C178" s="287">
        <v>0</v>
      </c>
      <c r="D178" s="288">
        <v>0</v>
      </c>
      <c r="E178" s="288">
        <v>0</v>
      </c>
      <c r="F178" s="288">
        <v>0</v>
      </c>
      <c r="G178" s="288">
        <v>0</v>
      </c>
      <c r="H178" s="288">
        <v>0</v>
      </c>
      <c r="I178" s="288">
        <v>0</v>
      </c>
      <c r="J178" s="289">
        <v>0</v>
      </c>
      <c r="K178" s="287">
        <v>0</v>
      </c>
      <c r="L178" s="288">
        <v>0</v>
      </c>
      <c r="M178" s="288">
        <v>0</v>
      </c>
      <c r="N178" s="288">
        <v>0</v>
      </c>
      <c r="O178" s="287">
        <v>0</v>
      </c>
      <c r="P178" s="287">
        <v>0</v>
      </c>
      <c r="Q178" s="288">
        <v>0</v>
      </c>
      <c r="R178" s="290">
        <v>0</v>
      </c>
      <c r="S178"/>
      <c r="T178"/>
      <c r="U178"/>
      <c r="V178"/>
    </row>
    <row r="179" spans="1:22">
      <c r="A179" s="285"/>
      <c r="B179" s="595" t="s">
        <v>598</v>
      </c>
      <c r="C179" s="596">
        <v>0</v>
      </c>
      <c r="D179" s="597">
        <v>0</v>
      </c>
      <c r="E179" s="597">
        <v>0</v>
      </c>
      <c r="F179" s="597">
        <v>0</v>
      </c>
      <c r="G179" s="597">
        <v>0</v>
      </c>
      <c r="H179" s="597">
        <v>0</v>
      </c>
      <c r="I179" s="597">
        <v>0</v>
      </c>
      <c r="J179" s="598">
        <v>0</v>
      </c>
      <c r="K179" s="596">
        <v>0</v>
      </c>
      <c r="L179" s="597">
        <v>0</v>
      </c>
      <c r="M179" s="597">
        <v>0</v>
      </c>
      <c r="N179" s="597">
        <v>0</v>
      </c>
      <c r="O179" s="596">
        <v>0</v>
      </c>
      <c r="P179" s="599">
        <v>0</v>
      </c>
      <c r="Q179" s="597">
        <v>0</v>
      </c>
      <c r="R179" s="600">
        <v>0</v>
      </c>
      <c r="S179"/>
      <c r="T179"/>
      <c r="U179"/>
      <c r="V179"/>
    </row>
    <row r="180" spans="1:22">
      <c r="A180" s="285"/>
      <c r="B180" s="264" t="s">
        <v>599</v>
      </c>
      <c r="C180" s="281">
        <v>0</v>
      </c>
      <c r="D180" s="282">
        <v>0</v>
      </c>
      <c r="E180" s="282">
        <v>0</v>
      </c>
      <c r="F180" s="282">
        <v>0</v>
      </c>
      <c r="G180" s="282">
        <v>0</v>
      </c>
      <c r="H180" s="282">
        <v>0</v>
      </c>
      <c r="I180" s="282">
        <v>0</v>
      </c>
      <c r="J180" s="283">
        <v>0</v>
      </c>
      <c r="K180" s="281">
        <v>0</v>
      </c>
      <c r="L180" s="282">
        <v>0</v>
      </c>
      <c r="M180" s="282">
        <v>0</v>
      </c>
      <c r="N180" s="282">
        <v>0</v>
      </c>
      <c r="O180" s="281">
        <v>0</v>
      </c>
      <c r="P180" s="281">
        <v>0</v>
      </c>
      <c r="Q180" s="282">
        <v>0</v>
      </c>
      <c r="R180" s="284">
        <v>0</v>
      </c>
      <c r="S180"/>
      <c r="T180"/>
      <c r="U180"/>
      <c r="V180"/>
    </row>
    <row r="181" spans="1:22">
      <c r="A181" s="285"/>
      <c r="B181" s="286" t="s">
        <v>600</v>
      </c>
      <c r="C181" s="287">
        <v>0</v>
      </c>
      <c r="D181" s="288">
        <v>0</v>
      </c>
      <c r="E181" s="288">
        <v>0</v>
      </c>
      <c r="F181" s="288">
        <v>0</v>
      </c>
      <c r="G181" s="288">
        <v>0</v>
      </c>
      <c r="H181" s="288">
        <v>0</v>
      </c>
      <c r="I181" s="288">
        <v>0</v>
      </c>
      <c r="J181" s="289">
        <v>0</v>
      </c>
      <c r="K181" s="287">
        <v>0</v>
      </c>
      <c r="L181" s="288">
        <v>0</v>
      </c>
      <c r="M181" s="288">
        <v>0</v>
      </c>
      <c r="N181" s="288">
        <v>0</v>
      </c>
      <c r="O181" s="287">
        <v>0</v>
      </c>
      <c r="P181" s="287">
        <v>0</v>
      </c>
      <c r="Q181" s="288">
        <v>0</v>
      </c>
      <c r="R181" s="290">
        <v>0</v>
      </c>
      <c r="S181"/>
      <c r="T181"/>
      <c r="U181"/>
      <c r="V181"/>
    </row>
    <row r="182" spans="1:22">
      <c r="A182" s="285"/>
      <c r="B182" s="595" t="s">
        <v>601</v>
      </c>
      <c r="C182" s="596">
        <v>0</v>
      </c>
      <c r="D182" s="597">
        <v>0</v>
      </c>
      <c r="E182" s="597">
        <v>0</v>
      </c>
      <c r="F182" s="597">
        <v>0</v>
      </c>
      <c r="G182" s="597">
        <v>0</v>
      </c>
      <c r="H182" s="597">
        <v>0</v>
      </c>
      <c r="I182" s="597">
        <v>0</v>
      </c>
      <c r="J182" s="598">
        <v>0</v>
      </c>
      <c r="K182" s="596">
        <v>0</v>
      </c>
      <c r="L182" s="597">
        <v>0</v>
      </c>
      <c r="M182" s="597">
        <v>0</v>
      </c>
      <c r="N182" s="597">
        <v>0</v>
      </c>
      <c r="O182" s="596">
        <v>0</v>
      </c>
      <c r="P182" s="599">
        <v>0</v>
      </c>
      <c r="Q182" s="597">
        <v>0</v>
      </c>
      <c r="R182" s="600">
        <v>0</v>
      </c>
      <c r="S182"/>
      <c r="T182"/>
      <c r="U182"/>
      <c r="V182"/>
    </row>
    <row r="183" spans="1:22">
      <c r="A183" s="285"/>
      <c r="B183" s="264" t="s">
        <v>602</v>
      </c>
      <c r="C183" s="281">
        <v>0</v>
      </c>
      <c r="D183" s="282">
        <v>0</v>
      </c>
      <c r="E183" s="282">
        <v>0</v>
      </c>
      <c r="F183" s="282">
        <v>0</v>
      </c>
      <c r="G183" s="282">
        <v>0</v>
      </c>
      <c r="H183" s="282">
        <v>0</v>
      </c>
      <c r="I183" s="282">
        <v>0</v>
      </c>
      <c r="J183" s="283">
        <v>0</v>
      </c>
      <c r="K183" s="281">
        <v>0</v>
      </c>
      <c r="L183" s="282">
        <v>0</v>
      </c>
      <c r="M183" s="282">
        <v>0</v>
      </c>
      <c r="N183" s="282">
        <v>0</v>
      </c>
      <c r="O183" s="281">
        <v>0</v>
      </c>
      <c r="P183" s="281">
        <v>0</v>
      </c>
      <c r="Q183" s="282">
        <v>0</v>
      </c>
      <c r="R183" s="284">
        <v>0</v>
      </c>
      <c r="S183"/>
      <c r="T183"/>
      <c r="U183"/>
      <c r="V183"/>
    </row>
    <row r="184" spans="1:22">
      <c r="A184" s="285"/>
      <c r="B184" s="286" t="s">
        <v>603</v>
      </c>
      <c r="C184" s="287">
        <v>0</v>
      </c>
      <c r="D184" s="288">
        <v>0</v>
      </c>
      <c r="E184" s="288">
        <v>0</v>
      </c>
      <c r="F184" s="288">
        <v>0</v>
      </c>
      <c r="G184" s="288">
        <v>0</v>
      </c>
      <c r="H184" s="288">
        <v>0</v>
      </c>
      <c r="I184" s="288">
        <v>0</v>
      </c>
      <c r="J184" s="289">
        <v>0</v>
      </c>
      <c r="K184" s="287">
        <v>0</v>
      </c>
      <c r="L184" s="288">
        <v>0</v>
      </c>
      <c r="M184" s="288">
        <v>0</v>
      </c>
      <c r="N184" s="288">
        <v>0</v>
      </c>
      <c r="O184" s="287">
        <v>0</v>
      </c>
      <c r="P184" s="287">
        <v>0</v>
      </c>
      <c r="Q184" s="288">
        <v>0</v>
      </c>
      <c r="R184" s="290">
        <v>0</v>
      </c>
      <c r="S184"/>
      <c r="T184"/>
      <c r="U184"/>
      <c r="V184"/>
    </row>
    <row r="185" spans="1:22">
      <c r="A185" s="292"/>
      <c r="B185" s="595" t="s">
        <v>604</v>
      </c>
      <c r="C185" s="596">
        <v>0</v>
      </c>
      <c r="D185" s="597">
        <v>0</v>
      </c>
      <c r="E185" s="597">
        <v>0</v>
      </c>
      <c r="F185" s="597">
        <v>0</v>
      </c>
      <c r="G185" s="597">
        <v>0</v>
      </c>
      <c r="H185" s="597">
        <v>0</v>
      </c>
      <c r="I185" s="597">
        <v>0</v>
      </c>
      <c r="J185" s="598">
        <v>0</v>
      </c>
      <c r="K185" s="596">
        <v>0</v>
      </c>
      <c r="L185" s="597">
        <v>0</v>
      </c>
      <c r="M185" s="597">
        <v>0</v>
      </c>
      <c r="N185" s="597">
        <v>0</v>
      </c>
      <c r="O185" s="596">
        <v>0</v>
      </c>
      <c r="P185" s="599">
        <v>0</v>
      </c>
      <c r="Q185" s="597">
        <v>0</v>
      </c>
      <c r="R185" s="600">
        <v>0</v>
      </c>
      <c r="S185"/>
      <c r="T185"/>
      <c r="U185"/>
      <c r="V185"/>
    </row>
    <row r="186" spans="1:22">
      <c r="A186" s="280" t="s">
        <v>172</v>
      </c>
      <c r="B186" s="264" t="s">
        <v>569</v>
      </c>
      <c r="C186" s="281">
        <v>0.95017027452513059</v>
      </c>
      <c r="D186" s="282">
        <v>0</v>
      </c>
      <c r="E186" s="282">
        <v>0.79898053813578562</v>
      </c>
      <c r="F186" s="282">
        <v>0.88156879324967585</v>
      </c>
      <c r="G186" s="282">
        <v>0</v>
      </c>
      <c r="H186" s="282">
        <v>0</v>
      </c>
      <c r="I186" s="282">
        <v>0</v>
      </c>
      <c r="J186" s="283">
        <v>0.86604230724206743</v>
      </c>
      <c r="K186" s="281">
        <v>0</v>
      </c>
      <c r="L186" s="282">
        <v>0.72225486862715427</v>
      </c>
      <c r="M186" s="282">
        <v>0.66242594477903027</v>
      </c>
      <c r="N186" s="282">
        <v>0.71836530203263671</v>
      </c>
      <c r="O186" s="281">
        <v>0.68912011572961474</v>
      </c>
      <c r="P186" s="281">
        <v>0.94359020770170599</v>
      </c>
      <c r="Q186" s="282">
        <v>0</v>
      </c>
      <c r="R186" s="284">
        <v>0.94359020770170599</v>
      </c>
      <c r="S186"/>
      <c r="T186"/>
      <c r="U186"/>
      <c r="V186"/>
    </row>
    <row r="187" spans="1:22">
      <c r="A187" s="285"/>
      <c r="B187" s="286" t="s">
        <v>570</v>
      </c>
      <c r="C187" s="287">
        <v>0.9442861915939893</v>
      </c>
      <c r="D187" s="288">
        <v>0</v>
      </c>
      <c r="E187" s="288">
        <v>0.78097685922064763</v>
      </c>
      <c r="F187" s="288">
        <v>0.86429200685693064</v>
      </c>
      <c r="G187" s="288">
        <v>0</v>
      </c>
      <c r="H187" s="288">
        <v>0</v>
      </c>
      <c r="I187" s="288">
        <v>0</v>
      </c>
      <c r="J187" s="289">
        <v>0.85295181262260222</v>
      </c>
      <c r="K187" s="287">
        <v>0</v>
      </c>
      <c r="L187" s="288">
        <v>0.70766727826534948</v>
      </c>
      <c r="M187" s="288">
        <v>0.62743836947490461</v>
      </c>
      <c r="N187" s="288">
        <v>0.69710824274173655</v>
      </c>
      <c r="O187" s="287">
        <v>0.66173089905517568</v>
      </c>
      <c r="P187" s="287">
        <v>0.91870314760821037</v>
      </c>
      <c r="Q187" s="288">
        <v>0</v>
      </c>
      <c r="R187" s="290">
        <v>0.91870314760821037</v>
      </c>
      <c r="S187"/>
      <c r="T187"/>
      <c r="U187"/>
      <c r="V187"/>
    </row>
    <row r="188" spans="1:22">
      <c r="A188" s="285"/>
      <c r="B188" s="595" t="s">
        <v>571</v>
      </c>
      <c r="C188" s="596">
        <v>-0.58840829311412879</v>
      </c>
      <c r="D188" s="597">
        <v>0</v>
      </c>
      <c r="E188" s="597">
        <v>-1.8003678915137988</v>
      </c>
      <c r="F188" s="597">
        <v>-1.7276786392745214</v>
      </c>
      <c r="G188" s="597">
        <v>0</v>
      </c>
      <c r="H188" s="597">
        <v>0</v>
      </c>
      <c r="I188" s="597">
        <v>0</v>
      </c>
      <c r="J188" s="598">
        <v>-1.3090494619465209</v>
      </c>
      <c r="K188" s="596">
        <v>0</v>
      </c>
      <c r="L188" s="597">
        <v>-1.4587590361804792</v>
      </c>
      <c r="M188" s="597">
        <v>-3.4987575304125662</v>
      </c>
      <c r="N188" s="597">
        <v>-2.125705929090016</v>
      </c>
      <c r="O188" s="596">
        <v>-2.7389216674439054</v>
      </c>
      <c r="P188" s="599">
        <v>-2.4887060093495617</v>
      </c>
      <c r="Q188" s="597">
        <v>0</v>
      </c>
      <c r="R188" s="600">
        <v>-2.4887060093495617</v>
      </c>
      <c r="S188"/>
      <c r="T188"/>
      <c r="U188"/>
      <c r="V188"/>
    </row>
    <row r="189" spans="1:22">
      <c r="A189" s="285"/>
      <c r="B189" s="264" t="s">
        <v>572</v>
      </c>
      <c r="C189" s="281">
        <v>1.7990255598419994E-2</v>
      </c>
      <c r="D189" s="282">
        <v>0</v>
      </c>
      <c r="E189" s="282">
        <v>7.3307057763020517E-2</v>
      </c>
      <c r="F189" s="282">
        <v>3.5911398175904725E-2</v>
      </c>
      <c r="G189" s="282">
        <v>0</v>
      </c>
      <c r="H189" s="282">
        <v>0</v>
      </c>
      <c r="I189" s="282">
        <v>0</v>
      </c>
      <c r="J189" s="283">
        <v>4.7659795191925293E-2</v>
      </c>
      <c r="K189" s="281">
        <v>0</v>
      </c>
      <c r="L189" s="282">
        <v>7.4576617618445848E-2</v>
      </c>
      <c r="M189" s="282">
        <v>8.3455787653170119E-2</v>
      </c>
      <c r="N189" s="282">
        <v>2.3624630212806565E-2</v>
      </c>
      <c r="O189" s="281">
        <v>7.3702549952974789E-2</v>
      </c>
      <c r="P189" s="281">
        <v>5.1224037286755056E-3</v>
      </c>
      <c r="Q189" s="282">
        <v>0</v>
      </c>
      <c r="R189" s="284">
        <v>5.1224037286755056E-3</v>
      </c>
      <c r="S189"/>
      <c r="T189"/>
      <c r="U189"/>
      <c r="V189"/>
    </row>
    <row r="190" spans="1:22">
      <c r="A190" s="285"/>
      <c r="B190" s="286" t="s">
        <v>573</v>
      </c>
      <c r="C190" s="287">
        <v>1.2723172215273375E-2</v>
      </c>
      <c r="D190" s="288">
        <v>0</v>
      </c>
      <c r="E190" s="288">
        <v>7.4612463674730761E-2</v>
      </c>
      <c r="F190" s="288">
        <v>3.4467872569516778E-2</v>
      </c>
      <c r="G190" s="288">
        <v>0</v>
      </c>
      <c r="H190" s="288">
        <v>0</v>
      </c>
      <c r="I190" s="288">
        <v>0</v>
      </c>
      <c r="J190" s="289">
        <v>4.6012563609718019E-2</v>
      </c>
      <c r="K190" s="287">
        <v>0</v>
      </c>
      <c r="L190" s="288">
        <v>7.7363316732797657E-2</v>
      </c>
      <c r="M190" s="288">
        <v>8.162118172325486E-2</v>
      </c>
      <c r="N190" s="288">
        <v>2.2151417008298906E-2</v>
      </c>
      <c r="O190" s="287">
        <v>7.348157488557723E-2</v>
      </c>
      <c r="P190" s="287">
        <v>5.8894956119622203E-3</v>
      </c>
      <c r="Q190" s="288">
        <v>0</v>
      </c>
      <c r="R190" s="290">
        <v>5.8894956119622203E-3</v>
      </c>
      <c r="S190"/>
      <c r="T190"/>
      <c r="U190"/>
      <c r="V190"/>
    </row>
    <row r="191" spans="1:22">
      <c r="A191" s="285"/>
      <c r="B191" s="595" t="s">
        <v>574</v>
      </c>
      <c r="C191" s="596">
        <v>-0.52670833831466191</v>
      </c>
      <c r="D191" s="597">
        <v>0</v>
      </c>
      <c r="E191" s="597">
        <v>0.13054059117102446</v>
      </c>
      <c r="F191" s="597">
        <v>-0.14435256063879479</v>
      </c>
      <c r="G191" s="597">
        <v>0</v>
      </c>
      <c r="H191" s="597">
        <v>0</v>
      </c>
      <c r="I191" s="597">
        <v>0</v>
      </c>
      <c r="J191" s="598">
        <v>-0.16472315822072744</v>
      </c>
      <c r="K191" s="596">
        <v>0</v>
      </c>
      <c r="L191" s="597">
        <v>0.27866991143518094</v>
      </c>
      <c r="M191" s="597">
        <v>-0.18346059299152589</v>
      </c>
      <c r="N191" s="597">
        <v>-0.14732132045076585</v>
      </c>
      <c r="O191" s="596">
        <v>-2.2097506739755801E-2</v>
      </c>
      <c r="P191" s="599">
        <v>7.6709188328671477E-2</v>
      </c>
      <c r="Q191" s="597">
        <v>0</v>
      </c>
      <c r="R191" s="600">
        <v>7.6709188328671477E-2</v>
      </c>
      <c r="S191"/>
      <c r="T191"/>
      <c r="U191"/>
      <c r="V191"/>
    </row>
    <row r="192" spans="1:22">
      <c r="A192" s="285"/>
      <c r="B192" s="264" t="s">
        <v>575</v>
      </c>
      <c r="C192" s="281">
        <v>2.8426294514547437E-2</v>
      </c>
      <c r="D192" s="282">
        <v>0</v>
      </c>
      <c r="E192" s="282">
        <v>0.10230448965298089</v>
      </c>
      <c r="F192" s="282">
        <v>8.2519808574419373E-2</v>
      </c>
      <c r="G192" s="282">
        <v>0</v>
      </c>
      <c r="H192" s="282">
        <v>0</v>
      </c>
      <c r="I192" s="282">
        <v>0</v>
      </c>
      <c r="J192" s="283">
        <v>7.2718651598060305E-2</v>
      </c>
      <c r="K192" s="281">
        <v>0</v>
      </c>
      <c r="L192" s="282">
        <v>0.19844974342546171</v>
      </c>
      <c r="M192" s="282">
        <v>0.24148196303065242</v>
      </c>
      <c r="N192" s="282">
        <v>0.24790056303082356</v>
      </c>
      <c r="O192" s="281">
        <v>0.22752560242882033</v>
      </c>
      <c r="P192" s="281">
        <v>5.1287388569618536E-2</v>
      </c>
      <c r="Q192" s="282">
        <v>0</v>
      </c>
      <c r="R192" s="284">
        <v>5.1287388569618536E-2</v>
      </c>
      <c r="S192"/>
      <c r="T192"/>
      <c r="U192"/>
      <c r="V192"/>
    </row>
    <row r="193" spans="1:22">
      <c r="A193" s="285"/>
      <c r="B193" s="286" t="s">
        <v>576</v>
      </c>
      <c r="C193" s="287">
        <v>4.0329489573873861E-2</v>
      </c>
      <c r="D193" s="288">
        <v>0</v>
      </c>
      <c r="E193" s="288">
        <v>0.11704630880766562</v>
      </c>
      <c r="F193" s="288">
        <v>0.10121753185636588</v>
      </c>
      <c r="G193" s="288">
        <v>0</v>
      </c>
      <c r="H193" s="288">
        <v>0</v>
      </c>
      <c r="I193" s="288">
        <v>0</v>
      </c>
      <c r="J193" s="289">
        <v>8.6834799036120666E-2</v>
      </c>
      <c r="K193" s="287">
        <v>0</v>
      </c>
      <c r="L193" s="288">
        <v>0.2123952674915717</v>
      </c>
      <c r="M193" s="288">
        <v>0.27726136803606799</v>
      </c>
      <c r="N193" s="288">
        <v>0.2696016419344171</v>
      </c>
      <c r="O193" s="287">
        <v>0.25505021516536658</v>
      </c>
      <c r="P193" s="287">
        <v>7.5407356779827392E-2</v>
      </c>
      <c r="Q193" s="288">
        <v>0</v>
      </c>
      <c r="R193" s="290">
        <v>7.5407356779827392E-2</v>
      </c>
      <c r="S193"/>
      <c r="T193"/>
      <c r="U193"/>
      <c r="V193"/>
    </row>
    <row r="194" spans="1:22">
      <c r="A194" s="285"/>
      <c r="B194" s="595" t="s">
        <v>577</v>
      </c>
      <c r="C194" s="596">
        <v>1.1903195059326424</v>
      </c>
      <c r="D194" s="597">
        <v>0</v>
      </c>
      <c r="E194" s="597">
        <v>1.4741819154684728</v>
      </c>
      <c r="F194" s="597">
        <v>1.8697723281946508</v>
      </c>
      <c r="G194" s="597">
        <v>0</v>
      </c>
      <c r="H194" s="597">
        <v>0</v>
      </c>
      <c r="I194" s="597">
        <v>0</v>
      </c>
      <c r="J194" s="598">
        <v>1.411614743806036</v>
      </c>
      <c r="K194" s="596">
        <v>0</v>
      </c>
      <c r="L194" s="597">
        <v>1.3945524066109993</v>
      </c>
      <c r="M194" s="597">
        <v>3.577940500541557</v>
      </c>
      <c r="N194" s="597">
        <v>2.1701078903593545</v>
      </c>
      <c r="O194" s="596">
        <v>2.7524612736546246</v>
      </c>
      <c r="P194" s="599">
        <v>2.4119968210208858</v>
      </c>
      <c r="Q194" s="597">
        <v>0</v>
      </c>
      <c r="R194" s="600">
        <v>2.4119968210208858</v>
      </c>
      <c r="S194"/>
      <c r="T194"/>
      <c r="U194"/>
      <c r="V194"/>
    </row>
    <row r="195" spans="1:22">
      <c r="A195" s="285"/>
      <c r="B195" s="264" t="s">
        <v>578</v>
      </c>
      <c r="C195" s="281">
        <v>0</v>
      </c>
      <c r="D195" s="282">
        <v>0</v>
      </c>
      <c r="E195" s="282">
        <v>2.3971458958877815E-2</v>
      </c>
      <c r="F195" s="282">
        <v>0</v>
      </c>
      <c r="G195" s="282">
        <v>0</v>
      </c>
      <c r="H195" s="282">
        <v>0</v>
      </c>
      <c r="I195" s="282">
        <v>0</v>
      </c>
      <c r="J195" s="283">
        <v>1.1655401210906753E-2</v>
      </c>
      <c r="K195" s="281">
        <v>0</v>
      </c>
      <c r="L195" s="282">
        <v>4.7187703289381881E-3</v>
      </c>
      <c r="M195" s="282">
        <v>1.2636304537147203E-2</v>
      </c>
      <c r="N195" s="282">
        <v>1.0109504723733181E-2</v>
      </c>
      <c r="O195" s="281">
        <v>9.6517318885901357E-3</v>
      </c>
      <c r="P195" s="281">
        <v>0</v>
      </c>
      <c r="Q195" s="282">
        <v>0</v>
      </c>
      <c r="R195" s="284">
        <v>0</v>
      </c>
      <c r="S195"/>
      <c r="T195"/>
      <c r="U195"/>
      <c r="V195"/>
    </row>
    <row r="196" spans="1:22">
      <c r="A196" s="285"/>
      <c r="B196" s="286" t="s">
        <v>579</v>
      </c>
      <c r="C196" s="287">
        <v>1.4017870911365077E-3</v>
      </c>
      <c r="D196" s="288">
        <v>0</v>
      </c>
      <c r="E196" s="288">
        <v>2.6284828579992529E-2</v>
      </c>
      <c r="F196" s="288">
        <v>0</v>
      </c>
      <c r="G196" s="288">
        <v>0</v>
      </c>
      <c r="H196" s="288">
        <v>0</v>
      </c>
      <c r="I196" s="288">
        <v>0</v>
      </c>
      <c r="J196" s="289">
        <v>1.3219425959237842E-2</v>
      </c>
      <c r="K196" s="287">
        <v>0</v>
      </c>
      <c r="L196" s="288">
        <v>2.5741375102811847E-3</v>
      </c>
      <c r="M196" s="288">
        <v>1.3679080765772541E-2</v>
      </c>
      <c r="N196" s="288">
        <v>1.113869831554746E-2</v>
      </c>
      <c r="O196" s="287">
        <v>9.7373108938804999E-3</v>
      </c>
      <c r="P196" s="287">
        <v>0</v>
      </c>
      <c r="Q196" s="288">
        <v>0</v>
      </c>
      <c r="R196" s="290">
        <v>0</v>
      </c>
      <c r="S196"/>
      <c r="T196"/>
      <c r="U196"/>
      <c r="V196"/>
    </row>
    <row r="197" spans="1:22">
      <c r="A197" s="285"/>
      <c r="B197" s="595" t="s">
        <v>580</v>
      </c>
      <c r="C197" s="596">
        <v>0</v>
      </c>
      <c r="D197" s="597">
        <v>0</v>
      </c>
      <c r="E197" s="597">
        <v>0.23133696211147142</v>
      </c>
      <c r="F197" s="597">
        <v>0</v>
      </c>
      <c r="G197" s="597">
        <v>0</v>
      </c>
      <c r="H197" s="597">
        <v>0</v>
      </c>
      <c r="I197" s="597">
        <v>0</v>
      </c>
      <c r="J197" s="598">
        <v>0.15640247483310887</v>
      </c>
      <c r="K197" s="596">
        <v>0</v>
      </c>
      <c r="L197" s="597">
        <v>-0.21446328186570032</v>
      </c>
      <c r="M197" s="597">
        <v>0.10427762286253378</v>
      </c>
      <c r="N197" s="597">
        <v>0.10291935918142793</v>
      </c>
      <c r="O197" s="596">
        <v>8.5579005290364191E-3</v>
      </c>
      <c r="P197" s="599">
        <v>0</v>
      </c>
      <c r="Q197" s="597">
        <v>0</v>
      </c>
      <c r="R197" s="600">
        <v>0</v>
      </c>
      <c r="S197"/>
      <c r="T197"/>
      <c r="U197"/>
      <c r="V197"/>
    </row>
    <row r="198" spans="1:22">
      <c r="A198" s="285"/>
      <c r="B198" s="264" t="s">
        <v>581</v>
      </c>
      <c r="C198" s="281">
        <v>3.4131753619019807E-3</v>
      </c>
      <c r="D198" s="282">
        <v>0</v>
      </c>
      <c r="E198" s="282">
        <v>1.4364554893352096E-3</v>
      </c>
      <c r="F198" s="282">
        <v>0</v>
      </c>
      <c r="G198" s="282">
        <v>0</v>
      </c>
      <c r="H198" s="282">
        <v>0</v>
      </c>
      <c r="I198" s="282">
        <v>0</v>
      </c>
      <c r="J198" s="283">
        <v>1.9238447570402036E-3</v>
      </c>
      <c r="K198" s="281">
        <v>0</v>
      </c>
      <c r="L198" s="282">
        <v>0</v>
      </c>
      <c r="M198" s="282">
        <v>0</v>
      </c>
      <c r="N198" s="282">
        <v>0</v>
      </c>
      <c r="O198" s="281">
        <v>0</v>
      </c>
      <c r="P198" s="281">
        <v>0</v>
      </c>
      <c r="Q198" s="282">
        <v>0</v>
      </c>
      <c r="R198" s="284">
        <v>0</v>
      </c>
      <c r="S198"/>
      <c r="T198"/>
      <c r="U198"/>
      <c r="V198"/>
    </row>
    <row r="199" spans="1:22">
      <c r="A199" s="285"/>
      <c r="B199" s="286" t="s">
        <v>582</v>
      </c>
      <c r="C199" s="287">
        <v>1.259359525726916E-3</v>
      </c>
      <c r="D199" s="288">
        <v>0</v>
      </c>
      <c r="E199" s="288">
        <v>1.0795397169634398E-3</v>
      </c>
      <c r="F199" s="288">
        <v>2.2588717186750964E-5</v>
      </c>
      <c r="G199" s="288">
        <v>0</v>
      </c>
      <c r="H199" s="288">
        <v>0</v>
      </c>
      <c r="I199" s="288">
        <v>0</v>
      </c>
      <c r="J199" s="289">
        <v>9.8139877232129879E-4</v>
      </c>
      <c r="K199" s="287">
        <v>0</v>
      </c>
      <c r="L199" s="288">
        <v>0</v>
      </c>
      <c r="M199" s="288">
        <v>0</v>
      </c>
      <c r="N199" s="288">
        <v>0</v>
      </c>
      <c r="O199" s="287">
        <v>0</v>
      </c>
      <c r="P199" s="287">
        <v>0</v>
      </c>
      <c r="Q199" s="288">
        <v>0</v>
      </c>
      <c r="R199" s="290">
        <v>0</v>
      </c>
      <c r="S199"/>
      <c r="T199"/>
      <c r="U199"/>
      <c r="V199"/>
    </row>
    <row r="200" spans="1:22">
      <c r="A200" s="285"/>
      <c r="B200" s="595" t="s">
        <v>583</v>
      </c>
      <c r="C200" s="596">
        <v>-0.21538158361750648</v>
      </c>
      <c r="D200" s="597">
        <v>0</v>
      </c>
      <c r="E200" s="597">
        <v>-3.5691577237176982E-2</v>
      </c>
      <c r="F200" s="597">
        <v>0</v>
      </c>
      <c r="G200" s="597">
        <v>0</v>
      </c>
      <c r="H200" s="597">
        <v>0</v>
      </c>
      <c r="I200" s="597">
        <v>0</v>
      </c>
      <c r="J200" s="598">
        <v>-9.4244598471890484E-2</v>
      </c>
      <c r="K200" s="596">
        <v>0</v>
      </c>
      <c r="L200" s="597">
        <v>0</v>
      </c>
      <c r="M200" s="597">
        <v>0</v>
      </c>
      <c r="N200" s="597">
        <v>0</v>
      </c>
      <c r="O200" s="596">
        <v>0</v>
      </c>
      <c r="P200" s="599">
        <v>0</v>
      </c>
      <c r="Q200" s="597">
        <v>0</v>
      </c>
      <c r="R200" s="600">
        <v>0</v>
      </c>
      <c r="S200"/>
      <c r="T200"/>
      <c r="U200"/>
      <c r="V200"/>
    </row>
    <row r="201" spans="1:22">
      <c r="A201" s="285"/>
      <c r="B201" s="264" t="s">
        <v>584</v>
      </c>
      <c r="C201" s="281">
        <v>0</v>
      </c>
      <c r="D201" s="282">
        <v>0</v>
      </c>
      <c r="E201" s="282">
        <v>0</v>
      </c>
      <c r="F201" s="282">
        <v>0</v>
      </c>
      <c r="G201" s="282">
        <v>0</v>
      </c>
      <c r="H201" s="282">
        <v>0</v>
      </c>
      <c r="I201" s="282">
        <v>0</v>
      </c>
      <c r="J201" s="283">
        <v>0</v>
      </c>
      <c r="K201" s="281">
        <v>0</v>
      </c>
      <c r="L201" s="282">
        <v>0</v>
      </c>
      <c r="M201" s="282">
        <v>0</v>
      </c>
      <c r="N201" s="282">
        <v>0</v>
      </c>
      <c r="O201" s="281">
        <v>0</v>
      </c>
      <c r="P201" s="281">
        <v>0</v>
      </c>
      <c r="Q201" s="282">
        <v>0</v>
      </c>
      <c r="R201" s="284">
        <v>0</v>
      </c>
      <c r="S201"/>
      <c r="T201"/>
      <c r="U201"/>
      <c r="V201"/>
    </row>
    <row r="202" spans="1:22">
      <c r="A202" s="285"/>
      <c r="B202" s="286" t="s">
        <v>585</v>
      </c>
      <c r="C202" s="287">
        <v>0</v>
      </c>
      <c r="D202" s="288">
        <v>0</v>
      </c>
      <c r="E202" s="288">
        <v>0</v>
      </c>
      <c r="F202" s="288">
        <v>0</v>
      </c>
      <c r="G202" s="288">
        <v>0</v>
      </c>
      <c r="H202" s="288">
        <v>0</v>
      </c>
      <c r="I202" s="288">
        <v>0</v>
      </c>
      <c r="J202" s="289">
        <v>0</v>
      </c>
      <c r="K202" s="287">
        <v>0</v>
      </c>
      <c r="L202" s="288">
        <v>0</v>
      </c>
      <c r="M202" s="288">
        <v>0</v>
      </c>
      <c r="N202" s="288">
        <v>0</v>
      </c>
      <c r="O202" s="287">
        <v>0</v>
      </c>
      <c r="P202" s="287">
        <v>0</v>
      </c>
      <c r="Q202" s="288">
        <v>0</v>
      </c>
      <c r="R202" s="290">
        <v>0</v>
      </c>
      <c r="S202"/>
      <c r="T202"/>
      <c r="U202"/>
      <c r="V202"/>
    </row>
    <row r="203" spans="1:22">
      <c r="A203" s="285"/>
      <c r="B203" s="595" t="s">
        <v>586</v>
      </c>
      <c r="C203" s="596">
        <v>0</v>
      </c>
      <c r="D203" s="597">
        <v>0</v>
      </c>
      <c r="E203" s="597">
        <v>0</v>
      </c>
      <c r="F203" s="597">
        <v>0</v>
      </c>
      <c r="G203" s="597">
        <v>0</v>
      </c>
      <c r="H203" s="597">
        <v>0</v>
      </c>
      <c r="I203" s="597">
        <v>0</v>
      </c>
      <c r="J203" s="598">
        <v>0</v>
      </c>
      <c r="K203" s="596">
        <v>0</v>
      </c>
      <c r="L203" s="597">
        <v>0</v>
      </c>
      <c r="M203" s="597">
        <v>0</v>
      </c>
      <c r="N203" s="597">
        <v>0</v>
      </c>
      <c r="O203" s="596">
        <v>0</v>
      </c>
      <c r="P203" s="599">
        <v>0</v>
      </c>
      <c r="Q203" s="597">
        <v>0</v>
      </c>
      <c r="R203" s="600">
        <v>0</v>
      </c>
      <c r="S203"/>
      <c r="T203"/>
      <c r="U203"/>
      <c r="V203"/>
    </row>
    <row r="204" spans="1:22">
      <c r="A204" s="285"/>
      <c r="B204" s="264" t="s">
        <v>587</v>
      </c>
      <c r="C204" s="281">
        <v>0.88219059437937897</v>
      </c>
      <c r="D204" s="282">
        <v>0</v>
      </c>
      <c r="E204" s="282">
        <v>0.50246908439855098</v>
      </c>
      <c r="F204" s="282">
        <v>0.76912115245103119</v>
      </c>
      <c r="G204" s="282">
        <v>0</v>
      </c>
      <c r="H204" s="282">
        <v>0</v>
      </c>
      <c r="I204" s="282">
        <v>0</v>
      </c>
      <c r="J204" s="283">
        <v>0.72276696969020127</v>
      </c>
      <c r="K204" s="281">
        <v>0</v>
      </c>
      <c r="L204" s="282">
        <v>0</v>
      </c>
      <c r="M204" s="282">
        <v>0</v>
      </c>
      <c r="N204" s="282">
        <v>0</v>
      </c>
      <c r="O204" s="281">
        <v>0</v>
      </c>
      <c r="P204" s="281">
        <v>0</v>
      </c>
      <c r="Q204" s="282">
        <v>0</v>
      </c>
      <c r="R204" s="284">
        <v>0</v>
      </c>
      <c r="S204"/>
      <c r="T204"/>
      <c r="U204"/>
      <c r="V204"/>
    </row>
    <row r="205" spans="1:22">
      <c r="A205" s="285"/>
      <c r="B205" s="286" t="s">
        <v>588</v>
      </c>
      <c r="C205" s="287">
        <v>0.87605312279285641</v>
      </c>
      <c r="D205" s="288">
        <v>0</v>
      </c>
      <c r="E205" s="288">
        <v>0.47048609747091036</v>
      </c>
      <c r="F205" s="288">
        <v>0.75614978466629357</v>
      </c>
      <c r="G205" s="288">
        <v>0</v>
      </c>
      <c r="H205" s="288">
        <v>0</v>
      </c>
      <c r="I205" s="288">
        <v>0</v>
      </c>
      <c r="J205" s="289">
        <v>0.70309890687986687</v>
      </c>
      <c r="K205" s="287">
        <v>0</v>
      </c>
      <c r="L205" s="288">
        <v>0</v>
      </c>
      <c r="M205" s="288">
        <v>0</v>
      </c>
      <c r="N205" s="288">
        <v>0</v>
      </c>
      <c r="O205" s="287">
        <v>0</v>
      </c>
      <c r="P205" s="287">
        <v>0</v>
      </c>
      <c r="Q205" s="288">
        <v>0</v>
      </c>
      <c r="R205" s="290">
        <v>0</v>
      </c>
      <c r="S205"/>
      <c r="T205"/>
      <c r="U205"/>
      <c r="V205"/>
    </row>
    <row r="206" spans="1:22">
      <c r="A206" s="285"/>
      <c r="B206" s="595" t="s">
        <v>589</v>
      </c>
      <c r="C206" s="596">
        <v>-0.61374715865225582</v>
      </c>
      <c r="D206" s="597">
        <v>0</v>
      </c>
      <c r="E206" s="597">
        <v>-3.1982986927640624</v>
      </c>
      <c r="F206" s="597">
        <v>-1.297136778473762</v>
      </c>
      <c r="G206" s="597">
        <v>0</v>
      </c>
      <c r="H206" s="597">
        <v>0</v>
      </c>
      <c r="I206" s="597">
        <v>0</v>
      </c>
      <c r="J206" s="598">
        <v>-1.9668062810334397</v>
      </c>
      <c r="K206" s="596">
        <v>0</v>
      </c>
      <c r="L206" s="597">
        <v>0</v>
      </c>
      <c r="M206" s="597">
        <v>0</v>
      </c>
      <c r="N206" s="597">
        <v>0</v>
      </c>
      <c r="O206" s="596">
        <v>0</v>
      </c>
      <c r="P206" s="599">
        <v>0</v>
      </c>
      <c r="Q206" s="597">
        <v>0</v>
      </c>
      <c r="R206" s="600">
        <v>0</v>
      </c>
      <c r="S206"/>
      <c r="T206"/>
      <c r="U206"/>
      <c r="V206"/>
    </row>
    <row r="207" spans="1:22">
      <c r="A207" s="285"/>
      <c r="B207" s="264" t="s">
        <v>590</v>
      </c>
      <c r="C207" s="281">
        <v>6.3981747201323713E-2</v>
      </c>
      <c r="D207" s="282">
        <v>0</v>
      </c>
      <c r="E207" s="282">
        <v>7.5280009992921684E-2</v>
      </c>
      <c r="F207" s="282">
        <v>2.8163540263239716E-2</v>
      </c>
      <c r="G207" s="282">
        <v>0</v>
      </c>
      <c r="H207" s="282">
        <v>0</v>
      </c>
      <c r="I207" s="282">
        <v>0</v>
      </c>
      <c r="J207" s="283">
        <v>6.3899782065559019E-2</v>
      </c>
      <c r="K207" s="281">
        <v>0</v>
      </c>
      <c r="L207" s="282">
        <v>0</v>
      </c>
      <c r="M207" s="282">
        <v>0</v>
      </c>
      <c r="N207" s="282">
        <v>0</v>
      </c>
      <c r="O207" s="281">
        <v>0</v>
      </c>
      <c r="P207" s="281">
        <v>0</v>
      </c>
      <c r="Q207" s="282">
        <v>0</v>
      </c>
      <c r="R207" s="284">
        <v>0</v>
      </c>
      <c r="S207"/>
      <c r="T207"/>
      <c r="U207"/>
      <c r="V207"/>
    </row>
    <row r="208" spans="1:22">
      <c r="A208" s="285"/>
      <c r="B208" s="286" t="s">
        <v>591</v>
      </c>
      <c r="C208" s="287">
        <v>4.5013116738976892E-2</v>
      </c>
      <c r="D208" s="288">
        <v>0</v>
      </c>
      <c r="E208" s="288">
        <v>6.2971896385106738E-2</v>
      </c>
      <c r="F208" s="288">
        <v>2.4964111048930631E-2</v>
      </c>
      <c r="G208" s="288">
        <v>0</v>
      </c>
      <c r="H208" s="288">
        <v>0</v>
      </c>
      <c r="I208" s="288">
        <v>0</v>
      </c>
      <c r="J208" s="289">
        <v>4.9484025275726859E-2</v>
      </c>
      <c r="K208" s="287">
        <v>0</v>
      </c>
      <c r="L208" s="288">
        <v>0</v>
      </c>
      <c r="M208" s="288">
        <v>0</v>
      </c>
      <c r="N208" s="288">
        <v>0</v>
      </c>
      <c r="O208" s="287">
        <v>0</v>
      </c>
      <c r="P208" s="287">
        <v>0</v>
      </c>
      <c r="Q208" s="288">
        <v>0</v>
      </c>
      <c r="R208" s="290">
        <v>0</v>
      </c>
      <c r="S208"/>
      <c r="T208"/>
      <c r="U208"/>
      <c r="V208"/>
    </row>
    <row r="209" spans="1:22">
      <c r="A209" s="285"/>
      <c r="B209" s="595" t="s">
        <v>592</v>
      </c>
      <c r="C209" s="596">
        <v>-1.896863046234682</v>
      </c>
      <c r="D209" s="597">
        <v>0</v>
      </c>
      <c r="E209" s="597">
        <v>-1.2308113607814946</v>
      </c>
      <c r="F209" s="597">
        <v>-0.31994292143090847</v>
      </c>
      <c r="G209" s="597">
        <v>0</v>
      </c>
      <c r="H209" s="597">
        <v>0</v>
      </c>
      <c r="I209" s="597">
        <v>0</v>
      </c>
      <c r="J209" s="598">
        <v>-1.4415756789832159</v>
      </c>
      <c r="K209" s="596">
        <v>0</v>
      </c>
      <c r="L209" s="597">
        <v>0</v>
      </c>
      <c r="M209" s="597">
        <v>0</v>
      </c>
      <c r="N209" s="597">
        <v>0</v>
      </c>
      <c r="O209" s="596">
        <v>0</v>
      </c>
      <c r="P209" s="599">
        <v>0</v>
      </c>
      <c r="Q209" s="597">
        <v>0</v>
      </c>
      <c r="R209" s="600">
        <v>0</v>
      </c>
      <c r="S209"/>
      <c r="T209"/>
      <c r="U209"/>
      <c r="V209"/>
    </row>
    <row r="210" spans="1:22">
      <c r="A210" s="285"/>
      <c r="B210" s="264" t="s">
        <v>593</v>
      </c>
      <c r="C210" s="281">
        <v>5.1604229685358979E-2</v>
      </c>
      <c r="D210" s="282">
        <v>0</v>
      </c>
      <c r="E210" s="282">
        <v>0.3932297955614773</v>
      </c>
      <c r="F210" s="282">
        <v>0.20271530728572909</v>
      </c>
      <c r="G210" s="282">
        <v>0</v>
      </c>
      <c r="H210" s="282">
        <v>0</v>
      </c>
      <c r="I210" s="282">
        <v>0</v>
      </c>
      <c r="J210" s="283">
        <v>0.20111551801708377</v>
      </c>
      <c r="K210" s="281">
        <v>0</v>
      </c>
      <c r="L210" s="282">
        <v>0</v>
      </c>
      <c r="M210" s="282">
        <v>0</v>
      </c>
      <c r="N210" s="282">
        <v>0</v>
      </c>
      <c r="O210" s="281">
        <v>0</v>
      </c>
      <c r="P210" s="281">
        <v>0</v>
      </c>
      <c r="Q210" s="282">
        <v>0</v>
      </c>
      <c r="R210" s="284">
        <v>0</v>
      </c>
      <c r="S210"/>
      <c r="T210"/>
      <c r="U210"/>
      <c r="V210"/>
    </row>
    <row r="211" spans="1:22">
      <c r="A211" s="285"/>
      <c r="B211" s="286" t="s">
        <v>594</v>
      </c>
      <c r="C211" s="287">
        <v>7.4557310059529813E-2</v>
      </c>
      <c r="D211" s="288">
        <v>0</v>
      </c>
      <c r="E211" s="288">
        <v>0.42794962248289192</v>
      </c>
      <c r="F211" s="288">
        <v>0.21888610428477578</v>
      </c>
      <c r="G211" s="288">
        <v>0</v>
      </c>
      <c r="H211" s="288">
        <v>0</v>
      </c>
      <c r="I211" s="288">
        <v>0</v>
      </c>
      <c r="J211" s="289">
        <v>0.23027092496192125</v>
      </c>
      <c r="K211" s="287">
        <v>0</v>
      </c>
      <c r="L211" s="288">
        <v>0</v>
      </c>
      <c r="M211" s="288">
        <v>0</v>
      </c>
      <c r="N211" s="288">
        <v>0</v>
      </c>
      <c r="O211" s="287">
        <v>0</v>
      </c>
      <c r="P211" s="287">
        <v>0</v>
      </c>
      <c r="Q211" s="288">
        <v>0</v>
      </c>
      <c r="R211" s="290">
        <v>0</v>
      </c>
      <c r="S211"/>
      <c r="T211"/>
      <c r="U211"/>
      <c r="V211"/>
    </row>
    <row r="212" spans="1:22">
      <c r="A212" s="285"/>
      <c r="B212" s="595" t="s">
        <v>595</v>
      </c>
      <c r="C212" s="596">
        <v>2.2953080374170836</v>
      </c>
      <c r="D212" s="597">
        <v>0</v>
      </c>
      <c r="E212" s="597">
        <v>3.471982692141462</v>
      </c>
      <c r="F212" s="597">
        <v>1.6170796999046693</v>
      </c>
      <c r="G212" s="597">
        <v>0</v>
      </c>
      <c r="H212" s="597">
        <v>0</v>
      </c>
      <c r="I212" s="597">
        <v>0</v>
      </c>
      <c r="J212" s="598">
        <v>2.9155406944837479</v>
      </c>
      <c r="K212" s="596">
        <v>0</v>
      </c>
      <c r="L212" s="597">
        <v>0</v>
      </c>
      <c r="M212" s="597">
        <v>0</v>
      </c>
      <c r="N212" s="597">
        <v>0</v>
      </c>
      <c r="O212" s="596">
        <v>0</v>
      </c>
      <c r="P212" s="599">
        <v>0</v>
      </c>
      <c r="Q212" s="597">
        <v>0</v>
      </c>
      <c r="R212" s="600">
        <v>0</v>
      </c>
      <c r="S212"/>
      <c r="T212"/>
      <c r="U212"/>
      <c r="V212"/>
    </row>
    <row r="213" spans="1:22">
      <c r="A213" s="285"/>
      <c r="B213" s="264" t="s">
        <v>596</v>
      </c>
      <c r="C213" s="281">
        <v>0</v>
      </c>
      <c r="D213" s="282">
        <v>0</v>
      </c>
      <c r="E213" s="282">
        <v>2.9021110047050006E-2</v>
      </c>
      <c r="F213" s="282">
        <v>0</v>
      </c>
      <c r="G213" s="282">
        <v>0</v>
      </c>
      <c r="H213" s="282">
        <v>0</v>
      </c>
      <c r="I213" s="282">
        <v>0</v>
      </c>
      <c r="J213" s="283">
        <v>1.1120080919728013E-2</v>
      </c>
      <c r="K213" s="281">
        <v>0</v>
      </c>
      <c r="L213" s="282">
        <v>0</v>
      </c>
      <c r="M213" s="282">
        <v>0</v>
      </c>
      <c r="N213" s="282">
        <v>0</v>
      </c>
      <c r="O213" s="281">
        <v>0</v>
      </c>
      <c r="P213" s="281">
        <v>0</v>
      </c>
      <c r="Q213" s="282">
        <v>0</v>
      </c>
      <c r="R213" s="284">
        <v>0</v>
      </c>
      <c r="S213"/>
      <c r="T213"/>
      <c r="U213"/>
      <c r="V213"/>
    </row>
    <row r="214" spans="1:22">
      <c r="A214" s="285"/>
      <c r="B214" s="286" t="s">
        <v>597</v>
      </c>
      <c r="C214" s="287">
        <v>2.1440823327615781E-3</v>
      </c>
      <c r="D214" s="288">
        <v>0</v>
      </c>
      <c r="E214" s="288">
        <v>3.8466675570989713E-2</v>
      </c>
      <c r="F214" s="288">
        <v>0</v>
      </c>
      <c r="G214" s="288">
        <v>0</v>
      </c>
      <c r="H214" s="288">
        <v>0</v>
      </c>
      <c r="I214" s="288">
        <v>0</v>
      </c>
      <c r="J214" s="289">
        <v>1.6014485218104075E-2</v>
      </c>
      <c r="K214" s="287">
        <v>0</v>
      </c>
      <c r="L214" s="288">
        <v>0</v>
      </c>
      <c r="M214" s="288">
        <v>0</v>
      </c>
      <c r="N214" s="288">
        <v>0</v>
      </c>
      <c r="O214" s="287">
        <v>0</v>
      </c>
      <c r="P214" s="287">
        <v>0</v>
      </c>
      <c r="Q214" s="288">
        <v>0</v>
      </c>
      <c r="R214" s="290">
        <v>0</v>
      </c>
      <c r="S214"/>
      <c r="T214"/>
      <c r="U214"/>
      <c r="V214"/>
    </row>
    <row r="215" spans="1:22">
      <c r="A215" s="285"/>
      <c r="B215" s="595" t="s">
        <v>598</v>
      </c>
      <c r="C215" s="596">
        <v>0</v>
      </c>
      <c r="D215" s="597">
        <v>0</v>
      </c>
      <c r="E215" s="597">
        <v>0.94455655239397074</v>
      </c>
      <c r="F215" s="597">
        <v>0</v>
      </c>
      <c r="G215" s="597">
        <v>0</v>
      </c>
      <c r="H215" s="597">
        <v>0</v>
      </c>
      <c r="I215" s="597">
        <v>0</v>
      </c>
      <c r="J215" s="598">
        <v>0.48944042983760616</v>
      </c>
      <c r="K215" s="596">
        <v>0</v>
      </c>
      <c r="L215" s="597">
        <v>0</v>
      </c>
      <c r="M215" s="597">
        <v>0</v>
      </c>
      <c r="N215" s="597">
        <v>0</v>
      </c>
      <c r="O215" s="596">
        <v>0</v>
      </c>
      <c r="P215" s="599">
        <v>0</v>
      </c>
      <c r="Q215" s="597">
        <v>0</v>
      </c>
      <c r="R215" s="600">
        <v>0</v>
      </c>
      <c r="S215"/>
      <c r="T215"/>
      <c r="U215"/>
      <c r="V215"/>
    </row>
    <row r="216" spans="1:22">
      <c r="A216" s="285"/>
      <c r="B216" s="264" t="s">
        <v>599</v>
      </c>
      <c r="C216" s="281">
        <v>2.2234287339383129E-3</v>
      </c>
      <c r="D216" s="282">
        <v>0</v>
      </c>
      <c r="E216" s="282">
        <v>0</v>
      </c>
      <c r="F216" s="282">
        <v>0</v>
      </c>
      <c r="G216" s="282">
        <v>0</v>
      </c>
      <c r="H216" s="282">
        <v>0</v>
      </c>
      <c r="I216" s="282">
        <v>0</v>
      </c>
      <c r="J216" s="283">
        <v>1.0976493074279588E-3</v>
      </c>
      <c r="K216" s="281">
        <v>0</v>
      </c>
      <c r="L216" s="282">
        <v>0</v>
      </c>
      <c r="M216" s="282">
        <v>0</v>
      </c>
      <c r="N216" s="282">
        <v>0</v>
      </c>
      <c r="O216" s="281">
        <v>0</v>
      </c>
      <c r="P216" s="281">
        <v>0</v>
      </c>
      <c r="Q216" s="282">
        <v>0</v>
      </c>
      <c r="R216" s="284">
        <v>0</v>
      </c>
      <c r="S216"/>
      <c r="T216"/>
      <c r="U216"/>
      <c r="V216"/>
    </row>
    <row r="217" spans="1:22">
      <c r="A217" s="285"/>
      <c r="B217" s="286" t="s">
        <v>600</v>
      </c>
      <c r="C217" s="287">
        <v>2.2323680758752902E-3</v>
      </c>
      <c r="D217" s="288">
        <v>0</v>
      </c>
      <c r="E217" s="288">
        <v>1.2570809010127359E-4</v>
      </c>
      <c r="F217" s="288">
        <v>0</v>
      </c>
      <c r="G217" s="288">
        <v>0</v>
      </c>
      <c r="H217" s="288">
        <v>0</v>
      </c>
      <c r="I217" s="288">
        <v>0</v>
      </c>
      <c r="J217" s="289">
        <v>1.1316576643809221E-3</v>
      </c>
      <c r="K217" s="287">
        <v>0</v>
      </c>
      <c r="L217" s="288">
        <v>0</v>
      </c>
      <c r="M217" s="288">
        <v>0</v>
      </c>
      <c r="N217" s="288">
        <v>0</v>
      </c>
      <c r="O217" s="287">
        <v>0</v>
      </c>
      <c r="P217" s="287">
        <v>0</v>
      </c>
      <c r="Q217" s="288">
        <v>0</v>
      </c>
      <c r="R217" s="290">
        <v>0</v>
      </c>
      <c r="S217"/>
      <c r="T217"/>
      <c r="U217"/>
      <c r="V217"/>
    </row>
    <row r="218" spans="1:22">
      <c r="A218" s="285"/>
      <c r="B218" s="595" t="s">
        <v>601</v>
      </c>
      <c r="C218" s="596">
        <v>8.9393419369773394E-4</v>
      </c>
      <c r="D218" s="597">
        <v>0</v>
      </c>
      <c r="E218" s="597">
        <v>0</v>
      </c>
      <c r="F218" s="597">
        <v>0</v>
      </c>
      <c r="G218" s="597">
        <v>0</v>
      </c>
      <c r="H218" s="597">
        <v>0</v>
      </c>
      <c r="I218" s="597">
        <v>0</v>
      </c>
      <c r="J218" s="598">
        <v>3.4008356952963366E-3</v>
      </c>
      <c r="K218" s="596">
        <v>0</v>
      </c>
      <c r="L218" s="597">
        <v>0</v>
      </c>
      <c r="M218" s="597">
        <v>0</v>
      </c>
      <c r="N218" s="597">
        <v>0</v>
      </c>
      <c r="O218" s="596">
        <v>0</v>
      </c>
      <c r="P218" s="599">
        <v>0</v>
      </c>
      <c r="Q218" s="597">
        <v>0</v>
      </c>
      <c r="R218" s="600">
        <v>0</v>
      </c>
      <c r="S218"/>
      <c r="T218"/>
      <c r="U218"/>
      <c r="V218"/>
    </row>
    <row r="219" spans="1:22">
      <c r="A219" s="285"/>
      <c r="B219" s="264" t="s">
        <v>602</v>
      </c>
      <c r="C219" s="281">
        <v>0</v>
      </c>
      <c r="D219" s="282">
        <v>0</v>
      </c>
      <c r="E219" s="282">
        <v>0</v>
      </c>
      <c r="F219" s="282">
        <v>0</v>
      </c>
      <c r="G219" s="282">
        <v>0</v>
      </c>
      <c r="H219" s="282">
        <v>0</v>
      </c>
      <c r="I219" s="282">
        <v>0</v>
      </c>
      <c r="J219" s="283">
        <v>0</v>
      </c>
      <c r="K219" s="281">
        <v>0</v>
      </c>
      <c r="L219" s="282">
        <v>0</v>
      </c>
      <c r="M219" s="282">
        <v>0</v>
      </c>
      <c r="N219" s="282">
        <v>0</v>
      </c>
      <c r="O219" s="281">
        <v>0</v>
      </c>
      <c r="P219" s="281">
        <v>0</v>
      </c>
      <c r="Q219" s="282">
        <v>0</v>
      </c>
      <c r="R219" s="284">
        <v>0</v>
      </c>
      <c r="S219"/>
      <c r="T219"/>
      <c r="U219"/>
      <c r="V219"/>
    </row>
    <row r="220" spans="1:22">
      <c r="A220" s="285"/>
      <c r="B220" s="286" t="s">
        <v>603</v>
      </c>
      <c r="C220" s="287">
        <v>0</v>
      </c>
      <c r="D220" s="288">
        <v>0</v>
      </c>
      <c r="E220" s="288">
        <v>0</v>
      </c>
      <c r="F220" s="288">
        <v>0</v>
      </c>
      <c r="G220" s="288">
        <v>0</v>
      </c>
      <c r="H220" s="288">
        <v>0</v>
      </c>
      <c r="I220" s="288">
        <v>0</v>
      </c>
      <c r="J220" s="289">
        <v>0</v>
      </c>
      <c r="K220" s="287">
        <v>0</v>
      </c>
      <c r="L220" s="288">
        <v>0</v>
      </c>
      <c r="M220" s="288">
        <v>0</v>
      </c>
      <c r="N220" s="288">
        <v>0</v>
      </c>
      <c r="O220" s="287">
        <v>0</v>
      </c>
      <c r="P220" s="287">
        <v>0</v>
      </c>
      <c r="Q220" s="288">
        <v>0</v>
      </c>
      <c r="R220" s="290">
        <v>0</v>
      </c>
      <c r="S220"/>
      <c r="T220"/>
      <c r="U220"/>
      <c r="V220"/>
    </row>
    <row r="221" spans="1:22">
      <c r="A221" s="292"/>
      <c r="B221" s="595" t="s">
        <v>604</v>
      </c>
      <c r="C221" s="596">
        <v>0</v>
      </c>
      <c r="D221" s="597">
        <v>0</v>
      </c>
      <c r="E221" s="597">
        <v>0</v>
      </c>
      <c r="F221" s="597">
        <v>0</v>
      </c>
      <c r="G221" s="597">
        <v>0</v>
      </c>
      <c r="H221" s="597">
        <v>0</v>
      </c>
      <c r="I221" s="597">
        <v>0</v>
      </c>
      <c r="J221" s="598">
        <v>0</v>
      </c>
      <c r="K221" s="596">
        <v>0</v>
      </c>
      <c r="L221" s="597">
        <v>0</v>
      </c>
      <c r="M221" s="597">
        <v>0</v>
      </c>
      <c r="N221" s="597">
        <v>0</v>
      </c>
      <c r="O221" s="596">
        <v>0</v>
      </c>
      <c r="P221" s="599">
        <v>0</v>
      </c>
      <c r="Q221" s="597">
        <v>0</v>
      </c>
      <c r="R221" s="600">
        <v>0</v>
      </c>
      <c r="S221"/>
      <c r="T221"/>
      <c r="U221"/>
      <c r="V221"/>
    </row>
    <row r="222" spans="1:22">
      <c r="A222" s="280" t="s">
        <v>197</v>
      </c>
      <c r="B222" s="264" t="s">
        <v>569</v>
      </c>
      <c r="C222" s="281">
        <v>0</v>
      </c>
      <c r="D222" s="282">
        <v>0</v>
      </c>
      <c r="E222" s="282">
        <v>0</v>
      </c>
      <c r="F222" s="282">
        <v>0</v>
      </c>
      <c r="G222" s="282">
        <v>0</v>
      </c>
      <c r="H222" s="282">
        <v>0</v>
      </c>
      <c r="I222" s="282">
        <v>0</v>
      </c>
      <c r="J222" s="283">
        <v>0</v>
      </c>
      <c r="K222" s="281">
        <v>0</v>
      </c>
      <c r="L222" s="282">
        <v>0</v>
      </c>
      <c r="M222" s="282">
        <v>0</v>
      </c>
      <c r="N222" s="282">
        <v>0</v>
      </c>
      <c r="O222" s="281">
        <v>0</v>
      </c>
      <c r="P222" s="281">
        <v>0</v>
      </c>
      <c r="Q222" s="282">
        <v>0</v>
      </c>
      <c r="R222" s="284">
        <v>0</v>
      </c>
      <c r="S222"/>
      <c r="T222"/>
      <c r="U222"/>
      <c r="V222"/>
    </row>
    <row r="223" spans="1:22">
      <c r="A223" s="285"/>
      <c r="B223" s="286" t="s">
        <v>570</v>
      </c>
      <c r="C223" s="287">
        <v>0</v>
      </c>
      <c r="D223" s="288">
        <v>0</v>
      </c>
      <c r="E223" s="288">
        <v>0</v>
      </c>
      <c r="F223" s="288">
        <v>0</v>
      </c>
      <c r="G223" s="288">
        <v>0</v>
      </c>
      <c r="H223" s="288">
        <v>0</v>
      </c>
      <c r="I223" s="288">
        <v>0</v>
      </c>
      <c r="J223" s="289">
        <v>0</v>
      </c>
      <c r="K223" s="287">
        <v>0</v>
      </c>
      <c r="L223" s="288">
        <v>0</v>
      </c>
      <c r="M223" s="288">
        <v>0</v>
      </c>
      <c r="N223" s="288">
        <v>0</v>
      </c>
      <c r="O223" s="287">
        <v>0</v>
      </c>
      <c r="P223" s="287">
        <v>0</v>
      </c>
      <c r="Q223" s="288">
        <v>0</v>
      </c>
      <c r="R223" s="290">
        <v>0</v>
      </c>
      <c r="S223"/>
      <c r="T223"/>
      <c r="U223"/>
      <c r="V223"/>
    </row>
    <row r="224" spans="1:22">
      <c r="A224" s="285"/>
      <c r="B224" s="595" t="s">
        <v>571</v>
      </c>
      <c r="C224" s="596">
        <v>0</v>
      </c>
      <c r="D224" s="597">
        <v>0</v>
      </c>
      <c r="E224" s="597">
        <v>0</v>
      </c>
      <c r="F224" s="597">
        <v>0</v>
      </c>
      <c r="G224" s="597">
        <v>0</v>
      </c>
      <c r="H224" s="597">
        <v>0</v>
      </c>
      <c r="I224" s="597">
        <v>0</v>
      </c>
      <c r="J224" s="598">
        <v>0</v>
      </c>
      <c r="K224" s="596">
        <v>0</v>
      </c>
      <c r="L224" s="597">
        <v>0</v>
      </c>
      <c r="M224" s="597">
        <v>0</v>
      </c>
      <c r="N224" s="597">
        <v>0</v>
      </c>
      <c r="O224" s="596">
        <v>0</v>
      </c>
      <c r="P224" s="599">
        <v>0</v>
      </c>
      <c r="Q224" s="597">
        <v>0</v>
      </c>
      <c r="R224" s="600">
        <v>0</v>
      </c>
      <c r="S224"/>
      <c r="T224"/>
      <c r="U224"/>
      <c r="V224"/>
    </row>
    <row r="225" spans="1:22">
      <c r="A225" s="285"/>
      <c r="B225" s="264" t="s">
        <v>572</v>
      </c>
      <c r="C225" s="281">
        <v>0</v>
      </c>
      <c r="D225" s="282">
        <v>0</v>
      </c>
      <c r="E225" s="282">
        <v>0</v>
      </c>
      <c r="F225" s="282">
        <v>0</v>
      </c>
      <c r="G225" s="282">
        <v>0</v>
      </c>
      <c r="H225" s="282">
        <v>0</v>
      </c>
      <c r="I225" s="282">
        <v>0</v>
      </c>
      <c r="J225" s="283">
        <v>0</v>
      </c>
      <c r="K225" s="281">
        <v>0</v>
      </c>
      <c r="L225" s="282">
        <v>0</v>
      </c>
      <c r="M225" s="282">
        <v>0</v>
      </c>
      <c r="N225" s="282">
        <v>0</v>
      </c>
      <c r="O225" s="281">
        <v>0</v>
      </c>
      <c r="P225" s="281">
        <v>0</v>
      </c>
      <c r="Q225" s="282">
        <v>0</v>
      </c>
      <c r="R225" s="284">
        <v>0</v>
      </c>
      <c r="S225"/>
      <c r="T225"/>
      <c r="U225"/>
      <c r="V225"/>
    </row>
    <row r="226" spans="1:22">
      <c r="A226" s="285"/>
      <c r="B226" s="286" t="s">
        <v>573</v>
      </c>
      <c r="C226" s="287">
        <v>0</v>
      </c>
      <c r="D226" s="288">
        <v>0</v>
      </c>
      <c r="E226" s="288">
        <v>0</v>
      </c>
      <c r="F226" s="288">
        <v>0</v>
      </c>
      <c r="G226" s="288">
        <v>0</v>
      </c>
      <c r="H226" s="288">
        <v>0</v>
      </c>
      <c r="I226" s="288">
        <v>0</v>
      </c>
      <c r="J226" s="289">
        <v>0</v>
      </c>
      <c r="K226" s="287">
        <v>0</v>
      </c>
      <c r="L226" s="288">
        <v>0</v>
      </c>
      <c r="M226" s="288">
        <v>0</v>
      </c>
      <c r="N226" s="288">
        <v>0</v>
      </c>
      <c r="O226" s="287">
        <v>0</v>
      </c>
      <c r="P226" s="287">
        <v>0</v>
      </c>
      <c r="Q226" s="288">
        <v>0</v>
      </c>
      <c r="R226" s="290">
        <v>0</v>
      </c>
      <c r="S226"/>
      <c r="T226"/>
      <c r="U226"/>
      <c r="V226"/>
    </row>
    <row r="227" spans="1:22">
      <c r="A227" s="285"/>
      <c r="B227" s="595" t="s">
        <v>574</v>
      </c>
      <c r="C227" s="596">
        <v>0</v>
      </c>
      <c r="D227" s="597">
        <v>0</v>
      </c>
      <c r="E227" s="597">
        <v>0</v>
      </c>
      <c r="F227" s="597">
        <v>0</v>
      </c>
      <c r="G227" s="597">
        <v>0</v>
      </c>
      <c r="H227" s="597">
        <v>0</v>
      </c>
      <c r="I227" s="597">
        <v>0</v>
      </c>
      <c r="J227" s="598">
        <v>0</v>
      </c>
      <c r="K227" s="596">
        <v>0</v>
      </c>
      <c r="L227" s="597">
        <v>0</v>
      </c>
      <c r="M227" s="597">
        <v>0</v>
      </c>
      <c r="N227" s="597">
        <v>0</v>
      </c>
      <c r="O227" s="596">
        <v>0</v>
      </c>
      <c r="P227" s="599">
        <v>0</v>
      </c>
      <c r="Q227" s="597">
        <v>0</v>
      </c>
      <c r="R227" s="600">
        <v>0</v>
      </c>
      <c r="S227"/>
      <c r="T227"/>
      <c r="U227"/>
      <c r="V227"/>
    </row>
    <row r="228" spans="1:22">
      <c r="A228" s="285"/>
      <c r="B228" s="264" t="s">
        <v>575</v>
      </c>
      <c r="C228" s="281">
        <v>0</v>
      </c>
      <c r="D228" s="282">
        <v>0</v>
      </c>
      <c r="E228" s="282">
        <v>0</v>
      </c>
      <c r="F228" s="282">
        <v>0</v>
      </c>
      <c r="G228" s="282">
        <v>0</v>
      </c>
      <c r="H228" s="282">
        <v>0</v>
      </c>
      <c r="I228" s="282">
        <v>0</v>
      </c>
      <c r="J228" s="283">
        <v>0</v>
      </c>
      <c r="K228" s="281">
        <v>0</v>
      </c>
      <c r="L228" s="282">
        <v>0</v>
      </c>
      <c r="M228" s="282">
        <v>0</v>
      </c>
      <c r="N228" s="282">
        <v>0</v>
      </c>
      <c r="O228" s="281">
        <v>0</v>
      </c>
      <c r="P228" s="281">
        <v>0</v>
      </c>
      <c r="Q228" s="282">
        <v>0</v>
      </c>
      <c r="R228" s="284">
        <v>0</v>
      </c>
      <c r="S228"/>
      <c r="T228"/>
      <c r="U228"/>
      <c r="V228"/>
    </row>
    <row r="229" spans="1:22">
      <c r="A229" s="285"/>
      <c r="B229" s="286" t="s">
        <v>576</v>
      </c>
      <c r="C229" s="287">
        <v>0</v>
      </c>
      <c r="D229" s="288">
        <v>0</v>
      </c>
      <c r="E229" s="288">
        <v>0</v>
      </c>
      <c r="F229" s="288">
        <v>0</v>
      </c>
      <c r="G229" s="288">
        <v>0</v>
      </c>
      <c r="H229" s="288">
        <v>0</v>
      </c>
      <c r="I229" s="288">
        <v>0</v>
      </c>
      <c r="J229" s="289">
        <v>0</v>
      </c>
      <c r="K229" s="287">
        <v>0</v>
      </c>
      <c r="L229" s="288">
        <v>0</v>
      </c>
      <c r="M229" s="288">
        <v>0</v>
      </c>
      <c r="N229" s="288">
        <v>0</v>
      </c>
      <c r="O229" s="287">
        <v>0</v>
      </c>
      <c r="P229" s="287">
        <v>0</v>
      </c>
      <c r="Q229" s="288">
        <v>0</v>
      </c>
      <c r="R229" s="290">
        <v>0</v>
      </c>
      <c r="S229"/>
      <c r="T229"/>
      <c r="U229"/>
      <c r="V229"/>
    </row>
    <row r="230" spans="1:22">
      <c r="A230" s="285"/>
      <c r="B230" s="595" t="s">
        <v>577</v>
      </c>
      <c r="C230" s="596">
        <v>0</v>
      </c>
      <c r="D230" s="597">
        <v>0</v>
      </c>
      <c r="E230" s="597">
        <v>0</v>
      </c>
      <c r="F230" s="597">
        <v>0</v>
      </c>
      <c r="G230" s="597">
        <v>0</v>
      </c>
      <c r="H230" s="597">
        <v>0</v>
      </c>
      <c r="I230" s="597">
        <v>0</v>
      </c>
      <c r="J230" s="598">
        <v>0</v>
      </c>
      <c r="K230" s="596">
        <v>0</v>
      </c>
      <c r="L230" s="597">
        <v>0</v>
      </c>
      <c r="M230" s="597">
        <v>0</v>
      </c>
      <c r="N230" s="597">
        <v>0</v>
      </c>
      <c r="O230" s="596">
        <v>0</v>
      </c>
      <c r="P230" s="599">
        <v>0</v>
      </c>
      <c r="Q230" s="597">
        <v>0</v>
      </c>
      <c r="R230" s="600">
        <v>0</v>
      </c>
      <c r="S230"/>
      <c r="T230"/>
      <c r="U230"/>
      <c r="V230"/>
    </row>
    <row r="231" spans="1:22">
      <c r="A231" s="285"/>
      <c r="B231" s="264" t="s">
        <v>578</v>
      </c>
      <c r="C231" s="281">
        <v>0</v>
      </c>
      <c r="D231" s="282">
        <v>0</v>
      </c>
      <c r="E231" s="282">
        <v>0</v>
      </c>
      <c r="F231" s="282">
        <v>0</v>
      </c>
      <c r="G231" s="282">
        <v>0</v>
      </c>
      <c r="H231" s="282">
        <v>0</v>
      </c>
      <c r="I231" s="282">
        <v>0</v>
      </c>
      <c r="J231" s="283">
        <v>0</v>
      </c>
      <c r="K231" s="281">
        <v>0</v>
      </c>
      <c r="L231" s="282">
        <v>0</v>
      </c>
      <c r="M231" s="282">
        <v>0</v>
      </c>
      <c r="N231" s="282">
        <v>0</v>
      </c>
      <c r="O231" s="281">
        <v>0</v>
      </c>
      <c r="P231" s="281">
        <v>0</v>
      </c>
      <c r="Q231" s="282">
        <v>0</v>
      </c>
      <c r="R231" s="284">
        <v>0</v>
      </c>
      <c r="S231"/>
      <c r="T231"/>
      <c r="U231"/>
      <c r="V231"/>
    </row>
    <row r="232" spans="1:22">
      <c r="A232" s="285"/>
      <c r="B232" s="286" t="s">
        <v>579</v>
      </c>
      <c r="C232" s="287">
        <v>0</v>
      </c>
      <c r="D232" s="288">
        <v>0</v>
      </c>
      <c r="E232" s="288">
        <v>0</v>
      </c>
      <c r="F232" s="288">
        <v>0</v>
      </c>
      <c r="G232" s="288">
        <v>0</v>
      </c>
      <c r="H232" s="288">
        <v>0</v>
      </c>
      <c r="I232" s="288">
        <v>0</v>
      </c>
      <c r="J232" s="289">
        <v>0</v>
      </c>
      <c r="K232" s="287">
        <v>0</v>
      </c>
      <c r="L232" s="288">
        <v>0</v>
      </c>
      <c r="M232" s="288">
        <v>0</v>
      </c>
      <c r="N232" s="288">
        <v>0</v>
      </c>
      <c r="O232" s="287">
        <v>0</v>
      </c>
      <c r="P232" s="287">
        <v>0</v>
      </c>
      <c r="Q232" s="288">
        <v>0</v>
      </c>
      <c r="R232" s="290">
        <v>0</v>
      </c>
      <c r="S232"/>
      <c r="T232"/>
      <c r="U232"/>
      <c r="V232"/>
    </row>
    <row r="233" spans="1:22">
      <c r="A233" s="285"/>
      <c r="B233" s="595" t="s">
        <v>580</v>
      </c>
      <c r="C233" s="596">
        <v>0</v>
      </c>
      <c r="D233" s="597">
        <v>0</v>
      </c>
      <c r="E233" s="597">
        <v>0</v>
      </c>
      <c r="F233" s="597">
        <v>0</v>
      </c>
      <c r="G233" s="597">
        <v>0</v>
      </c>
      <c r="H233" s="597">
        <v>0</v>
      </c>
      <c r="I233" s="597">
        <v>0</v>
      </c>
      <c r="J233" s="598">
        <v>0</v>
      </c>
      <c r="K233" s="596">
        <v>0</v>
      </c>
      <c r="L233" s="597">
        <v>0</v>
      </c>
      <c r="M233" s="597">
        <v>0</v>
      </c>
      <c r="N233" s="597">
        <v>0</v>
      </c>
      <c r="O233" s="596">
        <v>0</v>
      </c>
      <c r="P233" s="599">
        <v>0</v>
      </c>
      <c r="Q233" s="597">
        <v>0</v>
      </c>
      <c r="R233" s="600">
        <v>0</v>
      </c>
      <c r="S233"/>
      <c r="T233"/>
      <c r="U233"/>
      <c r="V233"/>
    </row>
    <row r="234" spans="1:22">
      <c r="A234" s="285"/>
      <c r="B234" s="264" t="s">
        <v>581</v>
      </c>
      <c r="C234" s="281">
        <v>0</v>
      </c>
      <c r="D234" s="282">
        <v>0</v>
      </c>
      <c r="E234" s="282">
        <v>0</v>
      </c>
      <c r="F234" s="282">
        <v>0</v>
      </c>
      <c r="G234" s="282">
        <v>0</v>
      </c>
      <c r="H234" s="282">
        <v>0</v>
      </c>
      <c r="I234" s="282">
        <v>0</v>
      </c>
      <c r="J234" s="283">
        <v>0</v>
      </c>
      <c r="K234" s="281">
        <v>0</v>
      </c>
      <c r="L234" s="282">
        <v>0</v>
      </c>
      <c r="M234" s="282">
        <v>0</v>
      </c>
      <c r="N234" s="282">
        <v>0</v>
      </c>
      <c r="O234" s="281">
        <v>0</v>
      </c>
      <c r="P234" s="281">
        <v>0</v>
      </c>
      <c r="Q234" s="282">
        <v>0</v>
      </c>
      <c r="R234" s="284">
        <v>0</v>
      </c>
      <c r="S234"/>
      <c r="T234"/>
      <c r="U234"/>
      <c r="V234"/>
    </row>
    <row r="235" spans="1:22">
      <c r="A235" s="285"/>
      <c r="B235" s="286" t="s">
        <v>582</v>
      </c>
      <c r="C235" s="287">
        <v>0</v>
      </c>
      <c r="D235" s="288">
        <v>0</v>
      </c>
      <c r="E235" s="288">
        <v>0</v>
      </c>
      <c r="F235" s="288">
        <v>0</v>
      </c>
      <c r="G235" s="288">
        <v>0</v>
      </c>
      <c r="H235" s="288">
        <v>0</v>
      </c>
      <c r="I235" s="288">
        <v>0</v>
      </c>
      <c r="J235" s="289">
        <v>0</v>
      </c>
      <c r="K235" s="287">
        <v>0</v>
      </c>
      <c r="L235" s="288">
        <v>0</v>
      </c>
      <c r="M235" s="288">
        <v>0</v>
      </c>
      <c r="N235" s="288">
        <v>0</v>
      </c>
      <c r="O235" s="287">
        <v>0</v>
      </c>
      <c r="P235" s="287">
        <v>0</v>
      </c>
      <c r="Q235" s="288">
        <v>0</v>
      </c>
      <c r="R235" s="290">
        <v>0</v>
      </c>
      <c r="S235"/>
      <c r="T235"/>
      <c r="U235"/>
      <c r="V235"/>
    </row>
    <row r="236" spans="1:22">
      <c r="A236" s="285"/>
      <c r="B236" s="595" t="s">
        <v>583</v>
      </c>
      <c r="C236" s="596">
        <v>0</v>
      </c>
      <c r="D236" s="597">
        <v>0</v>
      </c>
      <c r="E236" s="597">
        <v>0</v>
      </c>
      <c r="F236" s="597">
        <v>0</v>
      </c>
      <c r="G236" s="597">
        <v>0</v>
      </c>
      <c r="H236" s="597">
        <v>0</v>
      </c>
      <c r="I236" s="597">
        <v>0</v>
      </c>
      <c r="J236" s="598">
        <v>0</v>
      </c>
      <c r="K236" s="596">
        <v>0</v>
      </c>
      <c r="L236" s="597">
        <v>0</v>
      </c>
      <c r="M236" s="597">
        <v>0</v>
      </c>
      <c r="N236" s="597">
        <v>0</v>
      </c>
      <c r="O236" s="596">
        <v>0</v>
      </c>
      <c r="P236" s="599">
        <v>0</v>
      </c>
      <c r="Q236" s="597">
        <v>0</v>
      </c>
      <c r="R236" s="600">
        <v>0</v>
      </c>
      <c r="S236"/>
      <c r="T236"/>
      <c r="U236"/>
      <c r="V236"/>
    </row>
    <row r="237" spans="1:22">
      <c r="A237" s="285"/>
      <c r="B237" s="264" t="s">
        <v>584</v>
      </c>
      <c r="C237" s="281">
        <v>0</v>
      </c>
      <c r="D237" s="282">
        <v>0</v>
      </c>
      <c r="E237" s="282">
        <v>0</v>
      </c>
      <c r="F237" s="282">
        <v>0</v>
      </c>
      <c r="G237" s="282">
        <v>0</v>
      </c>
      <c r="H237" s="282">
        <v>0</v>
      </c>
      <c r="I237" s="282">
        <v>0</v>
      </c>
      <c r="J237" s="283">
        <v>0</v>
      </c>
      <c r="K237" s="281">
        <v>0</v>
      </c>
      <c r="L237" s="282">
        <v>0</v>
      </c>
      <c r="M237" s="282">
        <v>0</v>
      </c>
      <c r="N237" s="282">
        <v>0</v>
      </c>
      <c r="O237" s="281">
        <v>0</v>
      </c>
      <c r="P237" s="281">
        <v>0</v>
      </c>
      <c r="Q237" s="282">
        <v>0</v>
      </c>
      <c r="R237" s="284">
        <v>0</v>
      </c>
      <c r="S237"/>
      <c r="T237"/>
      <c r="U237"/>
      <c r="V237"/>
    </row>
    <row r="238" spans="1:22">
      <c r="A238" s="285"/>
      <c r="B238" s="286" t="s">
        <v>585</v>
      </c>
      <c r="C238" s="287">
        <v>0</v>
      </c>
      <c r="D238" s="288">
        <v>0</v>
      </c>
      <c r="E238" s="288">
        <v>0</v>
      </c>
      <c r="F238" s="288">
        <v>0</v>
      </c>
      <c r="G238" s="288">
        <v>0</v>
      </c>
      <c r="H238" s="288">
        <v>0</v>
      </c>
      <c r="I238" s="288">
        <v>0</v>
      </c>
      <c r="J238" s="289">
        <v>0</v>
      </c>
      <c r="K238" s="287">
        <v>0</v>
      </c>
      <c r="L238" s="288">
        <v>0</v>
      </c>
      <c r="M238" s="288">
        <v>0</v>
      </c>
      <c r="N238" s="288">
        <v>0</v>
      </c>
      <c r="O238" s="287">
        <v>0</v>
      </c>
      <c r="P238" s="287">
        <v>0</v>
      </c>
      <c r="Q238" s="288">
        <v>0</v>
      </c>
      <c r="R238" s="290">
        <v>0</v>
      </c>
      <c r="S238"/>
      <c r="T238"/>
      <c r="U238"/>
      <c r="V238"/>
    </row>
    <row r="239" spans="1:22">
      <c r="A239" s="285"/>
      <c r="B239" s="595" t="s">
        <v>586</v>
      </c>
      <c r="C239" s="596">
        <v>0</v>
      </c>
      <c r="D239" s="597">
        <v>0</v>
      </c>
      <c r="E239" s="597">
        <v>0</v>
      </c>
      <c r="F239" s="597">
        <v>0</v>
      </c>
      <c r="G239" s="597">
        <v>0</v>
      </c>
      <c r="H239" s="597">
        <v>0</v>
      </c>
      <c r="I239" s="597">
        <v>0</v>
      </c>
      <c r="J239" s="598">
        <v>0</v>
      </c>
      <c r="K239" s="596">
        <v>0</v>
      </c>
      <c r="L239" s="597">
        <v>0</v>
      </c>
      <c r="M239" s="597">
        <v>0</v>
      </c>
      <c r="N239" s="597">
        <v>0</v>
      </c>
      <c r="O239" s="596">
        <v>0</v>
      </c>
      <c r="P239" s="599">
        <v>0</v>
      </c>
      <c r="Q239" s="597">
        <v>0</v>
      </c>
      <c r="R239" s="600">
        <v>0</v>
      </c>
      <c r="S239"/>
      <c r="T239"/>
      <c r="U239"/>
      <c r="V239"/>
    </row>
    <row r="240" spans="1:22">
      <c r="A240" s="285"/>
      <c r="B240" s="264" t="s">
        <v>587</v>
      </c>
      <c r="C240" s="281">
        <v>0</v>
      </c>
      <c r="D240" s="282">
        <v>0</v>
      </c>
      <c r="E240" s="282">
        <v>0</v>
      </c>
      <c r="F240" s="282">
        <v>0</v>
      </c>
      <c r="G240" s="282">
        <v>0</v>
      </c>
      <c r="H240" s="282">
        <v>0</v>
      </c>
      <c r="I240" s="282">
        <v>0</v>
      </c>
      <c r="J240" s="283">
        <v>0</v>
      </c>
      <c r="K240" s="281">
        <v>0</v>
      </c>
      <c r="L240" s="282">
        <v>0</v>
      </c>
      <c r="M240" s="282">
        <v>0</v>
      </c>
      <c r="N240" s="282">
        <v>0</v>
      </c>
      <c r="O240" s="281">
        <v>0</v>
      </c>
      <c r="P240" s="281">
        <v>0</v>
      </c>
      <c r="Q240" s="282">
        <v>0</v>
      </c>
      <c r="R240" s="284">
        <v>0</v>
      </c>
      <c r="S240"/>
      <c r="T240"/>
      <c r="U240"/>
      <c r="V240"/>
    </row>
    <row r="241" spans="1:22">
      <c r="A241" s="285"/>
      <c r="B241" s="286" t="s">
        <v>588</v>
      </c>
      <c r="C241" s="287">
        <v>0</v>
      </c>
      <c r="D241" s="288">
        <v>0</v>
      </c>
      <c r="E241" s="288">
        <v>0</v>
      </c>
      <c r="F241" s="288">
        <v>0</v>
      </c>
      <c r="G241" s="288">
        <v>0</v>
      </c>
      <c r="H241" s="288">
        <v>0</v>
      </c>
      <c r="I241" s="288">
        <v>0</v>
      </c>
      <c r="J241" s="289">
        <v>0</v>
      </c>
      <c r="K241" s="287">
        <v>0</v>
      </c>
      <c r="L241" s="288">
        <v>0</v>
      </c>
      <c r="M241" s="288">
        <v>0</v>
      </c>
      <c r="N241" s="288">
        <v>0</v>
      </c>
      <c r="O241" s="287">
        <v>0</v>
      </c>
      <c r="P241" s="287">
        <v>0</v>
      </c>
      <c r="Q241" s="288">
        <v>0</v>
      </c>
      <c r="R241" s="290">
        <v>0</v>
      </c>
      <c r="S241"/>
      <c r="T241"/>
      <c r="U241"/>
      <c r="V241"/>
    </row>
    <row r="242" spans="1:22">
      <c r="A242" s="285"/>
      <c r="B242" s="595" t="s">
        <v>589</v>
      </c>
      <c r="C242" s="596">
        <v>0</v>
      </c>
      <c r="D242" s="597">
        <v>0</v>
      </c>
      <c r="E242" s="597">
        <v>0</v>
      </c>
      <c r="F242" s="597">
        <v>0</v>
      </c>
      <c r="G242" s="597">
        <v>0</v>
      </c>
      <c r="H242" s="597">
        <v>0</v>
      </c>
      <c r="I242" s="597">
        <v>0</v>
      </c>
      <c r="J242" s="598">
        <v>0</v>
      </c>
      <c r="K242" s="596">
        <v>0</v>
      </c>
      <c r="L242" s="597">
        <v>0</v>
      </c>
      <c r="M242" s="597">
        <v>0</v>
      </c>
      <c r="N242" s="597">
        <v>0</v>
      </c>
      <c r="O242" s="596">
        <v>0</v>
      </c>
      <c r="P242" s="599">
        <v>0</v>
      </c>
      <c r="Q242" s="597">
        <v>0</v>
      </c>
      <c r="R242" s="600">
        <v>0</v>
      </c>
      <c r="S242"/>
      <c r="T242"/>
      <c r="U242"/>
      <c r="V242"/>
    </row>
    <row r="243" spans="1:22">
      <c r="A243" s="285"/>
      <c r="B243" s="264" t="s">
        <v>590</v>
      </c>
      <c r="C243" s="281">
        <v>0</v>
      </c>
      <c r="D243" s="282">
        <v>0</v>
      </c>
      <c r="E243" s="282">
        <v>0</v>
      </c>
      <c r="F243" s="282">
        <v>0</v>
      </c>
      <c r="G243" s="282">
        <v>0</v>
      </c>
      <c r="H243" s="282">
        <v>0</v>
      </c>
      <c r="I243" s="282">
        <v>0</v>
      </c>
      <c r="J243" s="283">
        <v>0</v>
      </c>
      <c r="K243" s="281">
        <v>0</v>
      </c>
      <c r="L243" s="282">
        <v>0</v>
      </c>
      <c r="M243" s="282">
        <v>0</v>
      </c>
      <c r="N243" s="282">
        <v>0</v>
      </c>
      <c r="O243" s="281">
        <v>0</v>
      </c>
      <c r="P243" s="281">
        <v>0</v>
      </c>
      <c r="Q243" s="282">
        <v>0</v>
      </c>
      <c r="R243" s="284">
        <v>0</v>
      </c>
      <c r="S243"/>
      <c r="T243"/>
      <c r="U243"/>
      <c r="V243"/>
    </row>
    <row r="244" spans="1:22">
      <c r="A244" s="285"/>
      <c r="B244" s="286" t="s">
        <v>591</v>
      </c>
      <c r="C244" s="287">
        <v>0</v>
      </c>
      <c r="D244" s="288">
        <v>0</v>
      </c>
      <c r="E244" s="288">
        <v>0</v>
      </c>
      <c r="F244" s="288">
        <v>0</v>
      </c>
      <c r="G244" s="288">
        <v>0</v>
      </c>
      <c r="H244" s="288">
        <v>0</v>
      </c>
      <c r="I244" s="288">
        <v>0</v>
      </c>
      <c r="J244" s="289">
        <v>0</v>
      </c>
      <c r="K244" s="287">
        <v>0</v>
      </c>
      <c r="L244" s="288">
        <v>0</v>
      </c>
      <c r="M244" s="288">
        <v>0</v>
      </c>
      <c r="N244" s="288">
        <v>0</v>
      </c>
      <c r="O244" s="287">
        <v>0</v>
      </c>
      <c r="P244" s="287">
        <v>0</v>
      </c>
      <c r="Q244" s="288">
        <v>0</v>
      </c>
      <c r="R244" s="290">
        <v>0</v>
      </c>
      <c r="S244"/>
      <c r="T244"/>
      <c r="U244"/>
      <c r="V244"/>
    </row>
    <row r="245" spans="1:22">
      <c r="A245" s="285"/>
      <c r="B245" s="595" t="s">
        <v>592</v>
      </c>
      <c r="C245" s="596">
        <v>0</v>
      </c>
      <c r="D245" s="597">
        <v>0</v>
      </c>
      <c r="E245" s="597">
        <v>0</v>
      </c>
      <c r="F245" s="597">
        <v>0</v>
      </c>
      <c r="G245" s="597">
        <v>0</v>
      </c>
      <c r="H245" s="597">
        <v>0</v>
      </c>
      <c r="I245" s="597">
        <v>0</v>
      </c>
      <c r="J245" s="598">
        <v>0</v>
      </c>
      <c r="K245" s="596">
        <v>0</v>
      </c>
      <c r="L245" s="597">
        <v>0</v>
      </c>
      <c r="M245" s="597">
        <v>0</v>
      </c>
      <c r="N245" s="597">
        <v>0</v>
      </c>
      <c r="O245" s="596">
        <v>0</v>
      </c>
      <c r="P245" s="599">
        <v>0</v>
      </c>
      <c r="Q245" s="597">
        <v>0</v>
      </c>
      <c r="R245" s="600">
        <v>0</v>
      </c>
      <c r="S245"/>
      <c r="T245"/>
      <c r="U245"/>
      <c r="V245"/>
    </row>
    <row r="246" spans="1:22">
      <c r="A246" s="285"/>
      <c r="B246" s="264" t="s">
        <v>593</v>
      </c>
      <c r="C246" s="281">
        <v>0</v>
      </c>
      <c r="D246" s="282">
        <v>0</v>
      </c>
      <c r="E246" s="282">
        <v>0</v>
      </c>
      <c r="F246" s="282">
        <v>0</v>
      </c>
      <c r="G246" s="282">
        <v>0</v>
      </c>
      <c r="H246" s="282">
        <v>0</v>
      </c>
      <c r="I246" s="282">
        <v>0</v>
      </c>
      <c r="J246" s="283">
        <v>0</v>
      </c>
      <c r="K246" s="281">
        <v>0</v>
      </c>
      <c r="L246" s="282">
        <v>0</v>
      </c>
      <c r="M246" s="282">
        <v>0</v>
      </c>
      <c r="N246" s="282">
        <v>0</v>
      </c>
      <c r="O246" s="281">
        <v>0</v>
      </c>
      <c r="P246" s="281">
        <v>0</v>
      </c>
      <c r="Q246" s="282">
        <v>0</v>
      </c>
      <c r="R246" s="284">
        <v>0</v>
      </c>
      <c r="S246"/>
      <c r="T246"/>
      <c r="U246"/>
      <c r="V246"/>
    </row>
    <row r="247" spans="1:22">
      <c r="A247" s="285"/>
      <c r="B247" s="286" t="s">
        <v>594</v>
      </c>
      <c r="C247" s="287">
        <v>0</v>
      </c>
      <c r="D247" s="288">
        <v>0</v>
      </c>
      <c r="E247" s="288">
        <v>0</v>
      </c>
      <c r="F247" s="288">
        <v>0</v>
      </c>
      <c r="G247" s="288">
        <v>0</v>
      </c>
      <c r="H247" s="288">
        <v>0</v>
      </c>
      <c r="I247" s="288">
        <v>0</v>
      </c>
      <c r="J247" s="289">
        <v>0</v>
      </c>
      <c r="K247" s="287">
        <v>0</v>
      </c>
      <c r="L247" s="288">
        <v>0</v>
      </c>
      <c r="M247" s="288">
        <v>0</v>
      </c>
      <c r="N247" s="288">
        <v>0</v>
      </c>
      <c r="O247" s="287">
        <v>0</v>
      </c>
      <c r="P247" s="287">
        <v>0</v>
      </c>
      <c r="Q247" s="288">
        <v>0</v>
      </c>
      <c r="R247" s="290">
        <v>0</v>
      </c>
      <c r="S247"/>
      <c r="T247"/>
      <c r="U247"/>
      <c r="V247"/>
    </row>
    <row r="248" spans="1:22">
      <c r="A248" s="285"/>
      <c r="B248" s="595" t="s">
        <v>595</v>
      </c>
      <c r="C248" s="596">
        <v>0</v>
      </c>
      <c r="D248" s="597">
        <v>0</v>
      </c>
      <c r="E248" s="597">
        <v>0</v>
      </c>
      <c r="F248" s="597">
        <v>0</v>
      </c>
      <c r="G248" s="597">
        <v>0</v>
      </c>
      <c r="H248" s="597">
        <v>0</v>
      </c>
      <c r="I248" s="597">
        <v>0</v>
      </c>
      <c r="J248" s="598">
        <v>0</v>
      </c>
      <c r="K248" s="596">
        <v>0</v>
      </c>
      <c r="L248" s="597">
        <v>0</v>
      </c>
      <c r="M248" s="597">
        <v>0</v>
      </c>
      <c r="N248" s="597">
        <v>0</v>
      </c>
      <c r="O248" s="596">
        <v>0</v>
      </c>
      <c r="P248" s="599">
        <v>0</v>
      </c>
      <c r="Q248" s="597">
        <v>0</v>
      </c>
      <c r="R248" s="600">
        <v>0</v>
      </c>
      <c r="S248"/>
      <c r="T248"/>
      <c r="U248"/>
      <c r="V248"/>
    </row>
    <row r="249" spans="1:22">
      <c r="A249" s="285"/>
      <c r="B249" s="264" t="s">
        <v>596</v>
      </c>
      <c r="C249" s="281">
        <v>0</v>
      </c>
      <c r="D249" s="282">
        <v>0</v>
      </c>
      <c r="E249" s="282">
        <v>0</v>
      </c>
      <c r="F249" s="282">
        <v>0</v>
      </c>
      <c r="G249" s="282">
        <v>0</v>
      </c>
      <c r="H249" s="282">
        <v>0</v>
      </c>
      <c r="I249" s="282">
        <v>0</v>
      </c>
      <c r="J249" s="283">
        <v>0</v>
      </c>
      <c r="K249" s="281">
        <v>0</v>
      </c>
      <c r="L249" s="282">
        <v>0</v>
      </c>
      <c r="M249" s="282">
        <v>0</v>
      </c>
      <c r="N249" s="282">
        <v>0</v>
      </c>
      <c r="O249" s="281">
        <v>0</v>
      </c>
      <c r="P249" s="281">
        <v>0</v>
      </c>
      <c r="Q249" s="282">
        <v>0</v>
      </c>
      <c r="R249" s="284">
        <v>0</v>
      </c>
      <c r="S249"/>
      <c r="T249"/>
      <c r="U249"/>
      <c r="V249"/>
    </row>
    <row r="250" spans="1:22">
      <c r="A250" s="285"/>
      <c r="B250" s="286" t="s">
        <v>597</v>
      </c>
      <c r="C250" s="287">
        <v>0</v>
      </c>
      <c r="D250" s="288">
        <v>0</v>
      </c>
      <c r="E250" s="288">
        <v>0</v>
      </c>
      <c r="F250" s="288">
        <v>0</v>
      </c>
      <c r="G250" s="288">
        <v>0</v>
      </c>
      <c r="H250" s="288">
        <v>0</v>
      </c>
      <c r="I250" s="288">
        <v>0</v>
      </c>
      <c r="J250" s="289">
        <v>0</v>
      </c>
      <c r="K250" s="287">
        <v>0</v>
      </c>
      <c r="L250" s="288">
        <v>0</v>
      </c>
      <c r="M250" s="288">
        <v>0</v>
      </c>
      <c r="N250" s="288">
        <v>0</v>
      </c>
      <c r="O250" s="287">
        <v>0</v>
      </c>
      <c r="P250" s="287">
        <v>0</v>
      </c>
      <c r="Q250" s="288">
        <v>0</v>
      </c>
      <c r="R250" s="290">
        <v>0</v>
      </c>
      <c r="S250"/>
      <c r="T250"/>
      <c r="U250"/>
      <c r="V250"/>
    </row>
    <row r="251" spans="1:22">
      <c r="A251" s="285"/>
      <c r="B251" s="595" t="s">
        <v>598</v>
      </c>
      <c r="C251" s="596">
        <v>0</v>
      </c>
      <c r="D251" s="597">
        <v>0</v>
      </c>
      <c r="E251" s="597">
        <v>0</v>
      </c>
      <c r="F251" s="597">
        <v>0</v>
      </c>
      <c r="G251" s="597">
        <v>0</v>
      </c>
      <c r="H251" s="597">
        <v>0</v>
      </c>
      <c r="I251" s="597">
        <v>0</v>
      </c>
      <c r="J251" s="598">
        <v>0</v>
      </c>
      <c r="K251" s="596">
        <v>0</v>
      </c>
      <c r="L251" s="597">
        <v>0</v>
      </c>
      <c r="M251" s="597">
        <v>0</v>
      </c>
      <c r="N251" s="597">
        <v>0</v>
      </c>
      <c r="O251" s="596">
        <v>0</v>
      </c>
      <c r="P251" s="599">
        <v>0</v>
      </c>
      <c r="Q251" s="597">
        <v>0</v>
      </c>
      <c r="R251" s="600">
        <v>0</v>
      </c>
      <c r="S251"/>
      <c r="T251"/>
      <c r="U251"/>
      <c r="V251"/>
    </row>
    <row r="252" spans="1:22">
      <c r="A252" s="285"/>
      <c r="B252" s="264" t="s">
        <v>599</v>
      </c>
      <c r="C252" s="281">
        <v>0</v>
      </c>
      <c r="D252" s="282">
        <v>0</v>
      </c>
      <c r="E252" s="282">
        <v>0</v>
      </c>
      <c r="F252" s="282">
        <v>0</v>
      </c>
      <c r="G252" s="282">
        <v>0</v>
      </c>
      <c r="H252" s="282">
        <v>0</v>
      </c>
      <c r="I252" s="282">
        <v>0</v>
      </c>
      <c r="J252" s="283">
        <v>0</v>
      </c>
      <c r="K252" s="281">
        <v>0</v>
      </c>
      <c r="L252" s="282">
        <v>0</v>
      </c>
      <c r="M252" s="282">
        <v>0</v>
      </c>
      <c r="N252" s="282">
        <v>0</v>
      </c>
      <c r="O252" s="281">
        <v>0</v>
      </c>
      <c r="P252" s="281">
        <v>0</v>
      </c>
      <c r="Q252" s="282">
        <v>0</v>
      </c>
      <c r="R252" s="284">
        <v>0</v>
      </c>
      <c r="S252"/>
      <c r="T252"/>
      <c r="U252"/>
      <c r="V252"/>
    </row>
    <row r="253" spans="1:22">
      <c r="A253" s="285"/>
      <c r="B253" s="286" t="s">
        <v>600</v>
      </c>
      <c r="C253" s="287">
        <v>0</v>
      </c>
      <c r="D253" s="288">
        <v>0</v>
      </c>
      <c r="E253" s="288">
        <v>0</v>
      </c>
      <c r="F253" s="288">
        <v>0</v>
      </c>
      <c r="G253" s="288">
        <v>0</v>
      </c>
      <c r="H253" s="288">
        <v>0</v>
      </c>
      <c r="I253" s="288">
        <v>0</v>
      </c>
      <c r="J253" s="289">
        <v>0</v>
      </c>
      <c r="K253" s="287">
        <v>0</v>
      </c>
      <c r="L253" s="288">
        <v>0</v>
      </c>
      <c r="M253" s="288">
        <v>0</v>
      </c>
      <c r="N253" s="288">
        <v>0</v>
      </c>
      <c r="O253" s="287">
        <v>0</v>
      </c>
      <c r="P253" s="287">
        <v>0</v>
      </c>
      <c r="Q253" s="288">
        <v>0</v>
      </c>
      <c r="R253" s="290">
        <v>0</v>
      </c>
      <c r="S253"/>
      <c r="T253"/>
      <c r="U253"/>
      <c r="V253"/>
    </row>
    <row r="254" spans="1:22">
      <c r="A254" s="285"/>
      <c r="B254" s="595" t="s">
        <v>601</v>
      </c>
      <c r="C254" s="596">
        <v>0</v>
      </c>
      <c r="D254" s="597">
        <v>0</v>
      </c>
      <c r="E254" s="597">
        <v>0</v>
      </c>
      <c r="F254" s="597">
        <v>0</v>
      </c>
      <c r="G254" s="597">
        <v>0</v>
      </c>
      <c r="H254" s="597">
        <v>0</v>
      </c>
      <c r="I254" s="597">
        <v>0</v>
      </c>
      <c r="J254" s="598">
        <v>0</v>
      </c>
      <c r="K254" s="596">
        <v>0</v>
      </c>
      <c r="L254" s="597">
        <v>0</v>
      </c>
      <c r="M254" s="597">
        <v>0</v>
      </c>
      <c r="N254" s="597">
        <v>0</v>
      </c>
      <c r="O254" s="596">
        <v>0</v>
      </c>
      <c r="P254" s="599">
        <v>0</v>
      </c>
      <c r="Q254" s="597">
        <v>0</v>
      </c>
      <c r="R254" s="600">
        <v>0</v>
      </c>
      <c r="S254"/>
      <c r="T254"/>
      <c r="U254"/>
      <c r="V254"/>
    </row>
    <row r="255" spans="1:22">
      <c r="A255" s="285"/>
      <c r="B255" s="264" t="s">
        <v>602</v>
      </c>
      <c r="C255" s="281">
        <v>0</v>
      </c>
      <c r="D255" s="282">
        <v>0</v>
      </c>
      <c r="E255" s="282">
        <v>0</v>
      </c>
      <c r="F255" s="282">
        <v>0</v>
      </c>
      <c r="G255" s="282">
        <v>0</v>
      </c>
      <c r="H255" s="282">
        <v>0</v>
      </c>
      <c r="I255" s="282">
        <v>0</v>
      </c>
      <c r="J255" s="283">
        <v>0</v>
      </c>
      <c r="K255" s="281">
        <v>0</v>
      </c>
      <c r="L255" s="282">
        <v>0</v>
      </c>
      <c r="M255" s="282">
        <v>0</v>
      </c>
      <c r="N255" s="282">
        <v>0</v>
      </c>
      <c r="O255" s="281">
        <v>0</v>
      </c>
      <c r="P255" s="281">
        <v>0</v>
      </c>
      <c r="Q255" s="282">
        <v>0</v>
      </c>
      <c r="R255" s="284">
        <v>0</v>
      </c>
      <c r="S255"/>
      <c r="T255"/>
      <c r="U255"/>
      <c r="V255"/>
    </row>
    <row r="256" spans="1:22">
      <c r="A256" s="285"/>
      <c r="B256" s="286" t="s">
        <v>603</v>
      </c>
      <c r="C256" s="287">
        <v>0</v>
      </c>
      <c r="D256" s="288">
        <v>0</v>
      </c>
      <c r="E256" s="288">
        <v>0</v>
      </c>
      <c r="F256" s="288">
        <v>0</v>
      </c>
      <c r="G256" s="288">
        <v>0</v>
      </c>
      <c r="H256" s="288">
        <v>0</v>
      </c>
      <c r="I256" s="288">
        <v>0</v>
      </c>
      <c r="J256" s="289">
        <v>0</v>
      </c>
      <c r="K256" s="287">
        <v>0</v>
      </c>
      <c r="L256" s="288">
        <v>0</v>
      </c>
      <c r="M256" s="288">
        <v>0</v>
      </c>
      <c r="N256" s="288">
        <v>0</v>
      </c>
      <c r="O256" s="287">
        <v>0</v>
      </c>
      <c r="P256" s="287">
        <v>0</v>
      </c>
      <c r="Q256" s="288">
        <v>0</v>
      </c>
      <c r="R256" s="290">
        <v>0</v>
      </c>
      <c r="S256"/>
      <c r="T256"/>
      <c r="U256"/>
      <c r="V256"/>
    </row>
    <row r="257" spans="1:22">
      <c r="A257" s="292"/>
      <c r="B257" s="595" t="s">
        <v>604</v>
      </c>
      <c r="C257" s="596">
        <v>0</v>
      </c>
      <c r="D257" s="597">
        <v>0</v>
      </c>
      <c r="E257" s="597">
        <v>0</v>
      </c>
      <c r="F257" s="597">
        <v>0</v>
      </c>
      <c r="G257" s="597">
        <v>0</v>
      </c>
      <c r="H257" s="597">
        <v>0</v>
      </c>
      <c r="I257" s="597">
        <v>0</v>
      </c>
      <c r="J257" s="598">
        <v>0</v>
      </c>
      <c r="K257" s="596">
        <v>0</v>
      </c>
      <c r="L257" s="597">
        <v>0</v>
      </c>
      <c r="M257" s="597">
        <v>0</v>
      </c>
      <c r="N257" s="597">
        <v>0</v>
      </c>
      <c r="O257" s="596">
        <v>0</v>
      </c>
      <c r="P257" s="599">
        <v>0</v>
      </c>
      <c r="Q257" s="597">
        <v>0</v>
      </c>
      <c r="R257" s="600">
        <v>0</v>
      </c>
      <c r="S257"/>
      <c r="T257"/>
      <c r="U257"/>
      <c r="V257"/>
    </row>
    <row r="258" spans="1:22">
      <c r="A258" s="280" t="s">
        <v>198</v>
      </c>
      <c r="B258" s="264" t="s">
        <v>569</v>
      </c>
      <c r="C258" s="281">
        <v>0.97057862996322963</v>
      </c>
      <c r="D258" s="282">
        <v>0.93321648781644628</v>
      </c>
      <c r="E258" s="282">
        <v>0.95715323548215758</v>
      </c>
      <c r="F258" s="282">
        <v>0.91944334384481363</v>
      </c>
      <c r="G258" s="282">
        <v>0</v>
      </c>
      <c r="H258" s="282">
        <v>1</v>
      </c>
      <c r="I258" s="282">
        <v>0</v>
      </c>
      <c r="J258" s="283">
        <v>0.82354633002838995</v>
      </c>
      <c r="K258" s="281">
        <v>0</v>
      </c>
      <c r="L258" s="282">
        <v>0.79573677416120425</v>
      </c>
      <c r="M258" s="282">
        <v>0.80607104500808868</v>
      </c>
      <c r="N258" s="282">
        <v>0.78856887766345307</v>
      </c>
      <c r="O258" s="281">
        <v>0.79914440829313049</v>
      </c>
      <c r="P258" s="281">
        <v>0</v>
      </c>
      <c r="Q258" s="282">
        <v>0</v>
      </c>
      <c r="R258" s="284">
        <v>0</v>
      </c>
      <c r="S258"/>
      <c r="T258"/>
      <c r="U258"/>
      <c r="V258"/>
    </row>
    <row r="259" spans="1:22">
      <c r="A259" s="285"/>
      <c r="B259" s="286" t="s">
        <v>570</v>
      </c>
      <c r="C259" s="287">
        <v>0.96501330050124001</v>
      </c>
      <c r="D259" s="288">
        <v>0.90390141191823581</v>
      </c>
      <c r="E259" s="288">
        <v>0.94778434896876229</v>
      </c>
      <c r="F259" s="288">
        <v>0.91057039129946127</v>
      </c>
      <c r="G259" s="288">
        <v>0</v>
      </c>
      <c r="H259" s="288">
        <v>1</v>
      </c>
      <c r="I259" s="288">
        <v>0</v>
      </c>
      <c r="J259" s="289">
        <v>0.80752353136494381</v>
      </c>
      <c r="K259" s="287">
        <v>0</v>
      </c>
      <c r="L259" s="288">
        <v>0.7832724197839438</v>
      </c>
      <c r="M259" s="288">
        <v>0.80861645381185099</v>
      </c>
      <c r="N259" s="288">
        <v>0.76565617362934568</v>
      </c>
      <c r="O259" s="287">
        <v>0.79173057257440538</v>
      </c>
      <c r="P259" s="287">
        <v>0</v>
      </c>
      <c r="Q259" s="288">
        <v>0</v>
      </c>
      <c r="R259" s="290">
        <v>0</v>
      </c>
      <c r="S259"/>
      <c r="T259"/>
      <c r="U259"/>
      <c r="V259"/>
    </row>
    <row r="260" spans="1:22" s="293" customFormat="1">
      <c r="A260" s="285"/>
      <c r="B260" s="595" t="s">
        <v>571</v>
      </c>
      <c r="C260" s="596">
        <v>-0.5565329461989621</v>
      </c>
      <c r="D260" s="597">
        <v>-2.9315075898210474</v>
      </c>
      <c r="E260" s="597">
        <v>-0.93688865133952914</v>
      </c>
      <c r="F260" s="597">
        <v>-0.88729525453523639</v>
      </c>
      <c r="G260" s="597">
        <v>0</v>
      </c>
      <c r="H260" s="597">
        <v>0</v>
      </c>
      <c r="I260" s="597">
        <v>0</v>
      </c>
      <c r="J260" s="598">
        <v>-1.6022798663446136</v>
      </c>
      <c r="K260" s="596">
        <v>0</v>
      </c>
      <c r="L260" s="597">
        <v>-1.2464354377260456</v>
      </c>
      <c r="M260" s="597">
        <v>0.25454088037623057</v>
      </c>
      <c r="N260" s="597">
        <v>-2.291270403410739</v>
      </c>
      <c r="O260" s="596">
        <v>-0.74138357187251147</v>
      </c>
      <c r="P260" s="599">
        <v>0</v>
      </c>
      <c r="Q260" s="597">
        <v>0</v>
      </c>
      <c r="R260" s="600">
        <v>0</v>
      </c>
      <c r="S260"/>
      <c r="T260"/>
      <c r="U260"/>
      <c r="V260"/>
    </row>
    <row r="261" spans="1:22">
      <c r="A261" s="285"/>
      <c r="B261" s="264" t="s">
        <v>572</v>
      </c>
      <c r="C261" s="281">
        <v>2.0371847811874039E-2</v>
      </c>
      <c r="D261" s="282">
        <v>2.0702407067054011E-2</v>
      </c>
      <c r="E261" s="282">
        <v>1.5758762318106724E-2</v>
      </c>
      <c r="F261" s="282">
        <v>9.724928491177412E-3</v>
      </c>
      <c r="G261" s="282">
        <v>0</v>
      </c>
      <c r="H261" s="282">
        <v>0</v>
      </c>
      <c r="I261" s="282">
        <v>0.14453135164108888</v>
      </c>
      <c r="J261" s="283">
        <v>3.2614066592307159E-2</v>
      </c>
      <c r="K261" s="281">
        <v>0</v>
      </c>
      <c r="L261" s="282">
        <v>9.1858322784413499E-2</v>
      </c>
      <c r="M261" s="282">
        <v>4.4981004871961272E-2</v>
      </c>
      <c r="N261" s="282">
        <v>9.3558227996688809E-2</v>
      </c>
      <c r="O261" s="281">
        <v>7.5078716223345429E-2</v>
      </c>
      <c r="P261" s="281">
        <v>0</v>
      </c>
      <c r="Q261" s="282">
        <v>0</v>
      </c>
      <c r="R261" s="284">
        <v>0</v>
      </c>
      <c r="S261"/>
      <c r="T261"/>
      <c r="U261"/>
      <c r="V261"/>
    </row>
    <row r="262" spans="1:22">
      <c r="A262" s="285"/>
      <c r="B262" s="286" t="s">
        <v>573</v>
      </c>
      <c r="C262" s="287">
        <v>2.114316744617864E-2</v>
      </c>
      <c r="D262" s="288">
        <v>1.9736898738208906E-2</v>
      </c>
      <c r="E262" s="288">
        <v>1.467434083573242E-2</v>
      </c>
      <c r="F262" s="288">
        <v>1.0441796459459954E-2</v>
      </c>
      <c r="G262" s="288">
        <v>0</v>
      </c>
      <c r="H262" s="288">
        <v>0</v>
      </c>
      <c r="I262" s="288">
        <v>0.1353601029710654</v>
      </c>
      <c r="J262" s="289">
        <v>3.2336876253923272E-2</v>
      </c>
      <c r="K262" s="287">
        <v>0</v>
      </c>
      <c r="L262" s="288">
        <v>0.10485708986421266</v>
      </c>
      <c r="M262" s="288">
        <v>3.8614955371209493E-2</v>
      </c>
      <c r="N262" s="288">
        <v>9.4002736962537567E-2</v>
      </c>
      <c r="O262" s="287">
        <v>8.0365976004357464E-2</v>
      </c>
      <c r="P262" s="287">
        <v>0</v>
      </c>
      <c r="Q262" s="288">
        <v>0</v>
      </c>
      <c r="R262" s="290">
        <v>0</v>
      </c>
      <c r="S262"/>
      <c r="T262"/>
      <c r="U262"/>
      <c r="V262"/>
    </row>
    <row r="263" spans="1:22" s="293" customFormat="1">
      <c r="A263" s="285"/>
      <c r="B263" s="595" t="s">
        <v>574</v>
      </c>
      <c r="C263" s="596">
        <v>7.7131963430460138E-2</v>
      </c>
      <c r="D263" s="597">
        <v>-9.6550832884510426E-2</v>
      </c>
      <c r="E263" s="597">
        <v>-0.1084421482374304</v>
      </c>
      <c r="F263" s="597">
        <v>7.1686796828254212E-2</v>
      </c>
      <c r="G263" s="597">
        <v>0</v>
      </c>
      <c r="H263" s="597">
        <v>0</v>
      </c>
      <c r="I263" s="597">
        <v>-0.91712486700234741</v>
      </c>
      <c r="J263" s="598">
        <v>-2.7719033838388696E-2</v>
      </c>
      <c r="K263" s="596">
        <v>0</v>
      </c>
      <c r="L263" s="597">
        <v>1.2998767079799163</v>
      </c>
      <c r="M263" s="597">
        <v>-0.63660495007517792</v>
      </c>
      <c r="N263" s="597">
        <v>4.4450896584875832E-2</v>
      </c>
      <c r="O263" s="596">
        <v>0.52872597810120348</v>
      </c>
      <c r="P263" s="599">
        <v>0</v>
      </c>
      <c r="Q263" s="597">
        <v>0</v>
      </c>
      <c r="R263" s="600">
        <v>0</v>
      </c>
      <c r="S263"/>
      <c r="T263"/>
      <c r="U263"/>
      <c r="V263"/>
    </row>
    <row r="264" spans="1:22">
      <c r="A264" s="285"/>
      <c r="B264" s="264" t="s">
        <v>575</v>
      </c>
      <c r="C264" s="281">
        <v>8.6060792120611438E-3</v>
      </c>
      <c r="D264" s="282">
        <v>4.6081105116499675E-2</v>
      </c>
      <c r="E264" s="282">
        <v>2.70880021997357E-2</v>
      </c>
      <c r="F264" s="282">
        <v>6.8884570919926405E-2</v>
      </c>
      <c r="G264" s="282">
        <v>0</v>
      </c>
      <c r="H264" s="282">
        <v>0</v>
      </c>
      <c r="I264" s="282">
        <v>0.85546864835891112</v>
      </c>
      <c r="J264" s="283">
        <v>0.14322589690143517</v>
      </c>
      <c r="K264" s="281">
        <v>0</v>
      </c>
      <c r="L264" s="282">
        <v>0.11136902001579205</v>
      </c>
      <c r="M264" s="282">
        <v>0.14295721903408706</v>
      </c>
      <c r="N264" s="282">
        <v>0.10718177220404246</v>
      </c>
      <c r="O264" s="281">
        <v>0.1225454082653996</v>
      </c>
      <c r="P264" s="281">
        <v>0</v>
      </c>
      <c r="Q264" s="282">
        <v>0</v>
      </c>
      <c r="R264" s="284">
        <v>0</v>
      </c>
      <c r="S264"/>
      <c r="T264"/>
      <c r="U264"/>
      <c r="V264"/>
    </row>
    <row r="265" spans="1:22">
      <c r="A265" s="285"/>
      <c r="B265" s="286" t="s">
        <v>576</v>
      </c>
      <c r="C265" s="287">
        <v>1.3411860093241143E-2</v>
      </c>
      <c r="D265" s="288">
        <v>7.6361689343555292E-2</v>
      </c>
      <c r="E265" s="288">
        <v>3.7541310195505245E-2</v>
      </c>
      <c r="F265" s="288">
        <v>7.7622145495129344E-2</v>
      </c>
      <c r="G265" s="288">
        <v>0</v>
      </c>
      <c r="H265" s="288">
        <v>0</v>
      </c>
      <c r="I265" s="288">
        <v>0.86463989702893462</v>
      </c>
      <c r="J265" s="289">
        <v>0.15968058071909955</v>
      </c>
      <c r="K265" s="287">
        <v>0</v>
      </c>
      <c r="L265" s="288">
        <v>0.1111021822965092</v>
      </c>
      <c r="M265" s="288">
        <v>0.14777845671817225</v>
      </c>
      <c r="N265" s="288">
        <v>0.12979751732836881</v>
      </c>
      <c r="O265" s="287">
        <v>0.12519366985676625</v>
      </c>
      <c r="P265" s="287">
        <v>0</v>
      </c>
      <c r="Q265" s="288">
        <v>0</v>
      </c>
      <c r="R265" s="290">
        <v>0</v>
      </c>
      <c r="S265"/>
      <c r="T265"/>
      <c r="U265"/>
      <c r="V265"/>
    </row>
    <row r="266" spans="1:22" s="293" customFormat="1">
      <c r="A266" s="285"/>
      <c r="B266" s="595" t="s">
        <v>577</v>
      </c>
      <c r="C266" s="596">
        <v>0.48057808811799996</v>
      </c>
      <c r="D266" s="597">
        <v>3.0280584227055618</v>
      </c>
      <c r="E266" s="597">
        <v>1.0453307995769545</v>
      </c>
      <c r="F266" s="597">
        <v>0.87375745752029388</v>
      </c>
      <c r="G266" s="597">
        <v>0</v>
      </c>
      <c r="H266" s="597">
        <v>0</v>
      </c>
      <c r="I266" s="597">
        <v>0.91712486700235019</v>
      </c>
      <c r="J266" s="598">
        <v>1.6454683817664377</v>
      </c>
      <c r="K266" s="596">
        <v>0</v>
      </c>
      <c r="L266" s="597">
        <v>-2.668377192828475E-2</v>
      </c>
      <c r="M266" s="597">
        <v>0.48212376840851834</v>
      </c>
      <c r="N266" s="597">
        <v>2.2615745124326345</v>
      </c>
      <c r="O266" s="596">
        <v>0.26482615913666491</v>
      </c>
      <c r="P266" s="599">
        <v>0</v>
      </c>
      <c r="Q266" s="597">
        <v>0</v>
      </c>
      <c r="R266" s="600">
        <v>0</v>
      </c>
      <c r="S266"/>
      <c r="T266"/>
      <c r="U266"/>
      <c r="V266"/>
    </row>
    <row r="267" spans="1:22">
      <c r="A267" s="285"/>
      <c r="B267" s="264" t="s">
        <v>578</v>
      </c>
      <c r="C267" s="281">
        <v>4.4344301283521164E-4</v>
      </c>
      <c r="D267" s="282">
        <v>0</v>
      </c>
      <c r="E267" s="282">
        <v>0</v>
      </c>
      <c r="F267" s="282">
        <v>1.9471567440825432E-3</v>
      </c>
      <c r="G267" s="282">
        <v>0</v>
      </c>
      <c r="H267" s="282">
        <v>0</v>
      </c>
      <c r="I267" s="282">
        <v>0</v>
      </c>
      <c r="J267" s="283">
        <v>6.1370647786773767E-4</v>
      </c>
      <c r="K267" s="281">
        <v>0</v>
      </c>
      <c r="L267" s="282">
        <v>4.399212904357853E-4</v>
      </c>
      <c r="M267" s="282">
        <v>2.9583857214138167E-3</v>
      </c>
      <c r="N267" s="282">
        <v>1.0691122135815651E-2</v>
      </c>
      <c r="O267" s="281">
        <v>1.785189967412138E-3</v>
      </c>
      <c r="P267" s="281">
        <v>0</v>
      </c>
      <c r="Q267" s="282">
        <v>0</v>
      </c>
      <c r="R267" s="284">
        <v>0</v>
      </c>
      <c r="S267"/>
      <c r="T267"/>
      <c r="U267"/>
      <c r="V267"/>
    </row>
    <row r="268" spans="1:22">
      <c r="A268" s="285"/>
      <c r="B268" s="286" t="s">
        <v>579</v>
      </c>
      <c r="C268" s="287">
        <v>4.3167195934025508E-4</v>
      </c>
      <c r="D268" s="288">
        <v>0</v>
      </c>
      <c r="E268" s="288">
        <v>0</v>
      </c>
      <c r="F268" s="288">
        <v>1.3656667459493932E-3</v>
      </c>
      <c r="G268" s="288">
        <v>0</v>
      </c>
      <c r="H268" s="288">
        <v>0</v>
      </c>
      <c r="I268" s="288">
        <v>0</v>
      </c>
      <c r="J268" s="289">
        <v>4.5901166203334573E-4</v>
      </c>
      <c r="K268" s="287">
        <v>0</v>
      </c>
      <c r="L268" s="288">
        <v>4.7122894060506364E-4</v>
      </c>
      <c r="M268" s="288">
        <v>3.3815277279205238E-3</v>
      </c>
      <c r="N268" s="288">
        <v>1.0301005237422403E-2</v>
      </c>
      <c r="O268" s="287">
        <v>1.9390910957658451E-3</v>
      </c>
      <c r="P268" s="287">
        <v>0</v>
      </c>
      <c r="Q268" s="288">
        <v>0</v>
      </c>
      <c r="R268" s="290">
        <v>0</v>
      </c>
      <c r="S268"/>
      <c r="T268"/>
      <c r="U268"/>
      <c r="V268"/>
    </row>
    <row r="269" spans="1:22" s="293" customFormat="1">
      <c r="A269" s="285"/>
      <c r="B269" s="595" t="s">
        <v>580</v>
      </c>
      <c r="C269" s="596">
        <v>-1.1771053494956558E-3</v>
      </c>
      <c r="D269" s="597">
        <v>0</v>
      </c>
      <c r="E269" s="597">
        <v>0</v>
      </c>
      <c r="F269" s="597">
        <v>-5.8148999813315005E-2</v>
      </c>
      <c r="G269" s="597">
        <v>0</v>
      </c>
      <c r="H269" s="597">
        <v>0</v>
      </c>
      <c r="I269" s="597">
        <v>0</v>
      </c>
      <c r="J269" s="598">
        <v>-1.5469481583439193E-2</v>
      </c>
      <c r="K269" s="596">
        <v>0</v>
      </c>
      <c r="L269" s="597">
        <v>3.1307650169278339E-3</v>
      </c>
      <c r="M269" s="597">
        <v>4.2314200650670708E-2</v>
      </c>
      <c r="N269" s="597">
        <v>-3.9011689839324806E-2</v>
      </c>
      <c r="O269" s="596">
        <v>1.5390112835370713E-2</v>
      </c>
      <c r="P269" s="599">
        <v>0</v>
      </c>
      <c r="Q269" s="597">
        <v>0</v>
      </c>
      <c r="R269" s="600">
        <v>0</v>
      </c>
      <c r="S269"/>
      <c r="T269"/>
      <c r="U269"/>
      <c r="V269"/>
    </row>
    <row r="270" spans="1:22">
      <c r="A270" s="285"/>
      <c r="B270" s="264" t="s">
        <v>581</v>
      </c>
      <c r="C270" s="281">
        <v>0</v>
      </c>
      <c r="D270" s="282">
        <v>0</v>
      </c>
      <c r="E270" s="282">
        <v>0</v>
      </c>
      <c r="F270" s="282">
        <v>0</v>
      </c>
      <c r="G270" s="282">
        <v>0</v>
      </c>
      <c r="H270" s="282">
        <v>0</v>
      </c>
      <c r="I270" s="282">
        <v>0</v>
      </c>
      <c r="J270" s="283">
        <v>0</v>
      </c>
      <c r="K270" s="281">
        <v>0</v>
      </c>
      <c r="L270" s="282">
        <v>5.9596174815446123E-4</v>
      </c>
      <c r="M270" s="282">
        <v>2.885467763491645E-3</v>
      </c>
      <c r="N270" s="282">
        <v>0</v>
      </c>
      <c r="O270" s="281">
        <v>1.3934742749613102E-3</v>
      </c>
      <c r="P270" s="281">
        <v>0</v>
      </c>
      <c r="Q270" s="282">
        <v>0</v>
      </c>
      <c r="R270" s="284">
        <v>0</v>
      </c>
      <c r="S270"/>
      <c r="T270"/>
      <c r="U270"/>
      <c r="V270"/>
    </row>
    <row r="271" spans="1:22">
      <c r="A271" s="285"/>
      <c r="B271" s="286" t="s">
        <v>582</v>
      </c>
      <c r="C271" s="287">
        <v>0</v>
      </c>
      <c r="D271" s="288">
        <v>0</v>
      </c>
      <c r="E271" s="288">
        <v>0</v>
      </c>
      <c r="F271" s="288">
        <v>0</v>
      </c>
      <c r="G271" s="288">
        <v>0</v>
      </c>
      <c r="H271" s="288">
        <v>0</v>
      </c>
      <c r="I271" s="288">
        <v>0</v>
      </c>
      <c r="J271" s="289">
        <v>0</v>
      </c>
      <c r="K271" s="287">
        <v>0</v>
      </c>
      <c r="L271" s="288">
        <v>2.9707911472927925E-4</v>
      </c>
      <c r="M271" s="288">
        <v>1.5105775438363908E-3</v>
      </c>
      <c r="N271" s="288">
        <v>0</v>
      </c>
      <c r="O271" s="287">
        <v>7.2495718814446337E-4</v>
      </c>
      <c r="P271" s="287">
        <v>0</v>
      </c>
      <c r="Q271" s="288">
        <v>0</v>
      </c>
      <c r="R271" s="290">
        <v>0</v>
      </c>
      <c r="S271"/>
      <c r="T271"/>
      <c r="U271"/>
      <c r="V271"/>
    </row>
    <row r="272" spans="1:22" s="293" customFormat="1">
      <c r="A272" s="285"/>
      <c r="B272" s="595" t="s">
        <v>583</v>
      </c>
      <c r="C272" s="596">
        <v>0</v>
      </c>
      <c r="D272" s="597">
        <v>0</v>
      </c>
      <c r="E272" s="597">
        <v>0</v>
      </c>
      <c r="F272" s="597">
        <v>0</v>
      </c>
      <c r="G272" s="597">
        <v>0</v>
      </c>
      <c r="H272" s="597">
        <v>0</v>
      </c>
      <c r="I272" s="597">
        <v>0</v>
      </c>
      <c r="J272" s="598">
        <v>0</v>
      </c>
      <c r="K272" s="596">
        <v>0</v>
      </c>
      <c r="L272" s="597">
        <v>-2.98882633425182E-2</v>
      </c>
      <c r="M272" s="597">
        <v>-0.13748902196552543</v>
      </c>
      <c r="N272" s="597">
        <v>0</v>
      </c>
      <c r="O272" s="596">
        <v>-6.6851708681684691E-2</v>
      </c>
      <c r="P272" s="599">
        <v>0</v>
      </c>
      <c r="Q272" s="597">
        <v>0</v>
      </c>
      <c r="R272" s="600">
        <v>0</v>
      </c>
      <c r="S272"/>
      <c r="T272"/>
      <c r="U272"/>
      <c r="V272"/>
    </row>
    <row r="273" spans="1:22">
      <c r="A273" s="285"/>
      <c r="B273" s="264" t="s">
        <v>584</v>
      </c>
      <c r="C273" s="281">
        <v>0</v>
      </c>
      <c r="D273" s="282">
        <v>0</v>
      </c>
      <c r="E273" s="282">
        <v>0</v>
      </c>
      <c r="F273" s="282">
        <v>0</v>
      </c>
      <c r="G273" s="282">
        <v>0</v>
      </c>
      <c r="H273" s="282">
        <v>0</v>
      </c>
      <c r="I273" s="282">
        <v>0</v>
      </c>
      <c r="J273" s="283">
        <v>0</v>
      </c>
      <c r="K273" s="281">
        <v>0</v>
      </c>
      <c r="L273" s="282">
        <v>0</v>
      </c>
      <c r="M273" s="282">
        <v>1.4687760095751697E-4</v>
      </c>
      <c r="N273" s="282">
        <v>0</v>
      </c>
      <c r="O273" s="281">
        <v>5.2802975751019819E-5</v>
      </c>
      <c r="P273" s="281">
        <v>0</v>
      </c>
      <c r="Q273" s="282">
        <v>0</v>
      </c>
      <c r="R273" s="284">
        <v>0</v>
      </c>
      <c r="S273"/>
      <c r="T273"/>
      <c r="U273"/>
      <c r="V273"/>
    </row>
    <row r="274" spans="1:22">
      <c r="A274" s="285"/>
      <c r="B274" s="286" t="s">
        <v>585</v>
      </c>
      <c r="C274" s="287">
        <v>0</v>
      </c>
      <c r="D274" s="288">
        <v>0</v>
      </c>
      <c r="E274" s="288">
        <v>0</v>
      </c>
      <c r="F274" s="288">
        <v>0</v>
      </c>
      <c r="G274" s="288">
        <v>0</v>
      </c>
      <c r="H274" s="288">
        <v>0</v>
      </c>
      <c r="I274" s="288">
        <v>0</v>
      </c>
      <c r="J274" s="289">
        <v>0</v>
      </c>
      <c r="K274" s="287">
        <v>0</v>
      </c>
      <c r="L274" s="288">
        <v>0</v>
      </c>
      <c r="M274" s="288">
        <v>9.8028827010396191E-5</v>
      </c>
      <c r="N274" s="288">
        <v>2.4256684232548833E-4</v>
      </c>
      <c r="O274" s="287">
        <v>4.5733280560515213E-5</v>
      </c>
      <c r="P274" s="287">
        <v>0</v>
      </c>
      <c r="Q274" s="288">
        <v>0</v>
      </c>
      <c r="R274" s="290">
        <v>0</v>
      </c>
      <c r="S274"/>
      <c r="T274"/>
      <c r="U274"/>
      <c r="V274"/>
    </row>
    <row r="275" spans="1:22" s="293" customFormat="1">
      <c r="A275" s="285"/>
      <c r="B275" s="595" t="s">
        <v>586</v>
      </c>
      <c r="C275" s="596">
        <v>0</v>
      </c>
      <c r="D275" s="597">
        <v>0</v>
      </c>
      <c r="E275" s="597">
        <v>0</v>
      </c>
      <c r="F275" s="597">
        <v>0</v>
      </c>
      <c r="G275" s="597">
        <v>0</v>
      </c>
      <c r="H275" s="597">
        <v>0</v>
      </c>
      <c r="I275" s="597">
        <v>0</v>
      </c>
      <c r="J275" s="598">
        <v>0</v>
      </c>
      <c r="K275" s="596">
        <v>0</v>
      </c>
      <c r="L275" s="597">
        <v>0</v>
      </c>
      <c r="M275" s="597">
        <v>-4.8848773947120774E-3</v>
      </c>
      <c r="N275" s="597">
        <v>0</v>
      </c>
      <c r="O275" s="596">
        <v>-7.069695190504606E-4</v>
      </c>
      <c r="P275" s="599">
        <v>0</v>
      </c>
      <c r="Q275" s="597">
        <v>0</v>
      </c>
      <c r="R275" s="600">
        <v>0</v>
      </c>
      <c r="S275"/>
      <c r="T275"/>
      <c r="U275"/>
      <c r="V275"/>
    </row>
    <row r="276" spans="1:22">
      <c r="A276" s="285"/>
      <c r="B276" s="264" t="s">
        <v>587</v>
      </c>
      <c r="C276" s="281">
        <v>0.75141242937853103</v>
      </c>
      <c r="D276" s="282">
        <v>0.76279249164309593</v>
      </c>
      <c r="E276" s="282">
        <v>0.69397593788219236</v>
      </c>
      <c r="F276" s="282">
        <v>0.77864916773367476</v>
      </c>
      <c r="G276" s="282">
        <v>0</v>
      </c>
      <c r="H276" s="282">
        <v>1</v>
      </c>
      <c r="I276" s="282">
        <v>0</v>
      </c>
      <c r="J276" s="283">
        <v>0.52515351311582104</v>
      </c>
      <c r="K276" s="281">
        <v>0</v>
      </c>
      <c r="L276" s="282">
        <v>0</v>
      </c>
      <c r="M276" s="282">
        <v>0</v>
      </c>
      <c r="N276" s="282">
        <v>0</v>
      </c>
      <c r="O276" s="281">
        <v>0</v>
      </c>
      <c r="P276" s="281">
        <v>0</v>
      </c>
      <c r="Q276" s="282">
        <v>0</v>
      </c>
      <c r="R276" s="284">
        <v>0</v>
      </c>
      <c r="S276"/>
      <c r="T276"/>
      <c r="U276"/>
      <c r="V276"/>
    </row>
    <row r="277" spans="1:22">
      <c r="A277" s="285"/>
      <c r="B277" s="286" t="s">
        <v>588</v>
      </c>
      <c r="C277" s="287">
        <v>0.73544902567640513</v>
      </c>
      <c r="D277" s="288">
        <v>0.74605998983223187</v>
      </c>
      <c r="E277" s="288">
        <v>0.69324451400351161</v>
      </c>
      <c r="F277" s="288">
        <v>0.4543692870201097</v>
      </c>
      <c r="G277" s="288">
        <v>0</v>
      </c>
      <c r="H277" s="288">
        <v>1</v>
      </c>
      <c r="I277" s="288">
        <v>0</v>
      </c>
      <c r="J277" s="289">
        <v>0.44578250664702074</v>
      </c>
      <c r="K277" s="287">
        <v>0</v>
      </c>
      <c r="L277" s="288">
        <v>0</v>
      </c>
      <c r="M277" s="288">
        <v>0</v>
      </c>
      <c r="N277" s="288">
        <v>0</v>
      </c>
      <c r="O277" s="287">
        <v>0</v>
      </c>
      <c r="P277" s="287">
        <v>0</v>
      </c>
      <c r="Q277" s="288">
        <v>0</v>
      </c>
      <c r="R277" s="290">
        <v>0</v>
      </c>
      <c r="S277"/>
      <c r="T277"/>
      <c r="U277"/>
      <c r="V277"/>
    </row>
    <row r="278" spans="1:22" s="293" customFormat="1">
      <c r="A278" s="285"/>
      <c r="B278" s="595" t="s">
        <v>589</v>
      </c>
      <c r="C278" s="596">
        <v>-1.59634037021259</v>
      </c>
      <c r="D278" s="597">
        <v>-1.6732501810864053</v>
      </c>
      <c r="E278" s="597">
        <v>-7.314238786807481E-2</v>
      </c>
      <c r="F278" s="597">
        <v>-32.427988071356509</v>
      </c>
      <c r="G278" s="597">
        <v>0</v>
      </c>
      <c r="H278" s="597">
        <v>0</v>
      </c>
      <c r="I278" s="597">
        <v>0</v>
      </c>
      <c r="J278" s="598">
        <v>-7.9371006468800296</v>
      </c>
      <c r="K278" s="596">
        <v>0</v>
      </c>
      <c r="L278" s="597">
        <v>0</v>
      </c>
      <c r="M278" s="597">
        <v>0</v>
      </c>
      <c r="N278" s="597">
        <v>0</v>
      </c>
      <c r="O278" s="596">
        <v>0</v>
      </c>
      <c r="P278" s="599">
        <v>0</v>
      </c>
      <c r="Q278" s="597">
        <v>0</v>
      </c>
      <c r="R278" s="600">
        <v>0</v>
      </c>
      <c r="S278"/>
      <c r="T278"/>
      <c r="U278"/>
      <c r="V278"/>
    </row>
    <row r="279" spans="1:22">
      <c r="A279" s="285"/>
      <c r="B279" s="264" t="s">
        <v>590</v>
      </c>
      <c r="C279" s="281">
        <v>0.2109636803874092</v>
      </c>
      <c r="D279" s="282">
        <v>6.2708922602211364E-2</v>
      </c>
      <c r="E279" s="282">
        <v>0.23928439375408858</v>
      </c>
      <c r="F279" s="282">
        <v>8.6747759282970557E-2</v>
      </c>
      <c r="G279" s="282">
        <v>0</v>
      </c>
      <c r="H279" s="282">
        <v>0</v>
      </c>
      <c r="I279" s="282">
        <v>3.1370753249360166E-2</v>
      </c>
      <c r="J279" s="283">
        <v>0.12489883697897507</v>
      </c>
      <c r="K279" s="281">
        <v>0</v>
      </c>
      <c r="L279" s="282">
        <v>0</v>
      </c>
      <c r="M279" s="282">
        <v>0</v>
      </c>
      <c r="N279" s="282">
        <v>0</v>
      </c>
      <c r="O279" s="281">
        <v>0</v>
      </c>
      <c r="P279" s="281">
        <v>0</v>
      </c>
      <c r="Q279" s="282">
        <v>0</v>
      </c>
      <c r="R279" s="284">
        <v>0</v>
      </c>
      <c r="S279"/>
      <c r="T279"/>
      <c r="U279"/>
      <c r="V279"/>
    </row>
    <row r="280" spans="1:22">
      <c r="A280" s="285"/>
      <c r="B280" s="286" t="s">
        <v>591</v>
      </c>
      <c r="C280" s="287">
        <v>0.22377662581566263</v>
      </c>
      <c r="D280" s="288">
        <v>8.4307744450093203E-2</v>
      </c>
      <c r="E280" s="288">
        <v>0.21720403238003802</v>
      </c>
      <c r="F280" s="288">
        <v>3.5189344476364584E-2</v>
      </c>
      <c r="G280" s="288">
        <v>0</v>
      </c>
      <c r="H280" s="288">
        <v>0</v>
      </c>
      <c r="I280" s="288">
        <v>0</v>
      </c>
      <c r="J280" s="289">
        <v>9.6447523561701193E-2</v>
      </c>
      <c r="K280" s="287">
        <v>0</v>
      </c>
      <c r="L280" s="288">
        <v>0</v>
      </c>
      <c r="M280" s="288">
        <v>0</v>
      </c>
      <c r="N280" s="288">
        <v>0</v>
      </c>
      <c r="O280" s="287">
        <v>0</v>
      </c>
      <c r="P280" s="287">
        <v>0</v>
      </c>
      <c r="Q280" s="288">
        <v>0</v>
      </c>
      <c r="R280" s="290">
        <v>0</v>
      </c>
      <c r="S280"/>
      <c r="T280"/>
      <c r="U280"/>
      <c r="V280"/>
    </row>
    <row r="281" spans="1:22" s="293" customFormat="1">
      <c r="A281" s="285"/>
      <c r="B281" s="595" t="s">
        <v>592</v>
      </c>
      <c r="C281" s="596">
        <v>1.2812945428253424</v>
      </c>
      <c r="D281" s="597">
        <v>2.1598821847881839</v>
      </c>
      <c r="E281" s="597">
        <v>-2.2080361374050561</v>
      </c>
      <c r="F281" s="597">
        <v>-5.1558414806605972</v>
      </c>
      <c r="G281" s="597">
        <v>0</v>
      </c>
      <c r="H281" s="597">
        <v>0</v>
      </c>
      <c r="I281" s="597">
        <v>-3.1370753249360166</v>
      </c>
      <c r="J281" s="598">
        <v>-2.8451313417273876</v>
      </c>
      <c r="K281" s="596">
        <v>0</v>
      </c>
      <c r="L281" s="597">
        <v>0</v>
      </c>
      <c r="M281" s="597">
        <v>0</v>
      </c>
      <c r="N281" s="597">
        <v>0</v>
      </c>
      <c r="O281" s="596">
        <v>0</v>
      </c>
      <c r="P281" s="599">
        <v>0</v>
      </c>
      <c r="Q281" s="597">
        <v>0</v>
      </c>
      <c r="R281" s="600">
        <v>0</v>
      </c>
      <c r="S281"/>
      <c r="T281"/>
      <c r="U281"/>
      <c r="V281"/>
    </row>
    <row r="282" spans="1:22">
      <c r="A282" s="285"/>
      <c r="B282" s="264" t="s">
        <v>593</v>
      </c>
      <c r="C282" s="281">
        <v>3.2206618240516544E-2</v>
      </c>
      <c r="D282" s="282">
        <v>0.17449858575469274</v>
      </c>
      <c r="E282" s="282">
        <v>6.6739668363719098E-2</v>
      </c>
      <c r="F282" s="282">
        <v>0.12223467065016361</v>
      </c>
      <c r="G282" s="282">
        <v>0</v>
      </c>
      <c r="H282" s="282">
        <v>0</v>
      </c>
      <c r="I282" s="282">
        <v>0.96862924675063988</v>
      </c>
      <c r="J282" s="283">
        <v>0.34574077742248882</v>
      </c>
      <c r="K282" s="281">
        <v>0</v>
      </c>
      <c r="L282" s="282">
        <v>0</v>
      </c>
      <c r="M282" s="282">
        <v>0</v>
      </c>
      <c r="N282" s="282">
        <v>0</v>
      </c>
      <c r="O282" s="281">
        <v>0</v>
      </c>
      <c r="P282" s="281">
        <v>0</v>
      </c>
      <c r="Q282" s="282">
        <v>0</v>
      </c>
      <c r="R282" s="284">
        <v>0</v>
      </c>
      <c r="S282"/>
      <c r="T282"/>
      <c r="U282"/>
      <c r="V282"/>
    </row>
    <row r="283" spans="1:22">
      <c r="A283" s="285"/>
      <c r="B283" s="286" t="s">
        <v>594</v>
      </c>
      <c r="C283" s="287">
        <v>3.445026813461987E-2</v>
      </c>
      <c r="D283" s="288">
        <v>0.15517143986894877</v>
      </c>
      <c r="E283" s="288">
        <v>8.7697032268246655E-2</v>
      </c>
      <c r="F283" s="288">
        <v>0.50295116218333769</v>
      </c>
      <c r="G283" s="288">
        <v>0</v>
      </c>
      <c r="H283" s="288">
        <v>0</v>
      </c>
      <c r="I283" s="288">
        <v>1</v>
      </c>
      <c r="J283" s="289">
        <v>0.45292618461795175</v>
      </c>
      <c r="K283" s="287">
        <v>0</v>
      </c>
      <c r="L283" s="288">
        <v>0</v>
      </c>
      <c r="M283" s="288">
        <v>0</v>
      </c>
      <c r="N283" s="288">
        <v>0</v>
      </c>
      <c r="O283" s="287">
        <v>0</v>
      </c>
      <c r="P283" s="287">
        <v>0</v>
      </c>
      <c r="Q283" s="288">
        <v>0</v>
      </c>
      <c r="R283" s="290">
        <v>0</v>
      </c>
      <c r="S283"/>
      <c r="T283"/>
      <c r="U283"/>
      <c r="V283"/>
    </row>
    <row r="284" spans="1:22" s="293" customFormat="1">
      <c r="A284" s="285"/>
      <c r="B284" s="595" t="s">
        <v>595</v>
      </c>
      <c r="C284" s="596">
        <v>0.22436498941033264</v>
      </c>
      <c r="D284" s="597">
        <v>-1.9327145885743968</v>
      </c>
      <c r="E284" s="597">
        <v>2.0957363904527555</v>
      </c>
      <c r="F284" s="597">
        <v>38.071649153317409</v>
      </c>
      <c r="G284" s="597">
        <v>0</v>
      </c>
      <c r="H284" s="597">
        <v>0</v>
      </c>
      <c r="I284" s="597">
        <v>3.1370753249360117</v>
      </c>
      <c r="J284" s="598">
        <v>10.718540719546294</v>
      </c>
      <c r="K284" s="596">
        <v>0</v>
      </c>
      <c r="L284" s="597">
        <v>0</v>
      </c>
      <c r="M284" s="597">
        <v>0</v>
      </c>
      <c r="N284" s="597">
        <v>0</v>
      </c>
      <c r="O284" s="596">
        <v>0</v>
      </c>
      <c r="P284" s="599">
        <v>0</v>
      </c>
      <c r="Q284" s="597">
        <v>0</v>
      </c>
      <c r="R284" s="600">
        <v>0</v>
      </c>
      <c r="S284"/>
      <c r="T284"/>
      <c r="U284"/>
      <c r="V284"/>
    </row>
    <row r="285" spans="1:22">
      <c r="A285" s="285"/>
      <c r="B285" s="264" t="s">
        <v>596</v>
      </c>
      <c r="C285" s="281">
        <v>5.4172719935431796E-3</v>
      </c>
      <c r="D285" s="282">
        <v>0</v>
      </c>
      <c r="E285" s="282">
        <v>0</v>
      </c>
      <c r="F285" s="282">
        <v>1.2368402333191066E-2</v>
      </c>
      <c r="G285" s="282">
        <v>0</v>
      </c>
      <c r="H285" s="282">
        <v>0</v>
      </c>
      <c r="I285" s="282">
        <v>0</v>
      </c>
      <c r="J285" s="283">
        <v>4.2068724827150359E-3</v>
      </c>
      <c r="K285" s="281">
        <v>0</v>
      </c>
      <c r="L285" s="282">
        <v>0</v>
      </c>
      <c r="M285" s="282">
        <v>0</v>
      </c>
      <c r="N285" s="282">
        <v>0</v>
      </c>
      <c r="O285" s="281">
        <v>0</v>
      </c>
      <c r="P285" s="281">
        <v>0</v>
      </c>
      <c r="Q285" s="282">
        <v>0</v>
      </c>
      <c r="R285" s="284">
        <v>0</v>
      </c>
      <c r="S285"/>
      <c r="T285"/>
      <c r="U285"/>
      <c r="V285"/>
    </row>
    <row r="286" spans="1:22">
      <c r="A286" s="285"/>
      <c r="B286" s="286" t="s">
        <v>597</v>
      </c>
      <c r="C286" s="287">
        <v>6.3240803733123812E-3</v>
      </c>
      <c r="D286" s="288">
        <v>1.2540247415692256E-2</v>
      </c>
      <c r="E286" s="288">
        <v>1.8544213482037759E-3</v>
      </c>
      <c r="F286" s="288">
        <v>7.4902063201880385E-3</v>
      </c>
      <c r="G286" s="288">
        <v>0</v>
      </c>
      <c r="H286" s="288">
        <v>0</v>
      </c>
      <c r="I286" s="288">
        <v>0</v>
      </c>
      <c r="J286" s="289">
        <v>4.7367401971201749E-3</v>
      </c>
      <c r="K286" s="287">
        <v>0</v>
      </c>
      <c r="L286" s="288">
        <v>0</v>
      </c>
      <c r="M286" s="288">
        <v>0</v>
      </c>
      <c r="N286" s="288">
        <v>0</v>
      </c>
      <c r="O286" s="287">
        <v>0</v>
      </c>
      <c r="P286" s="287">
        <v>0</v>
      </c>
      <c r="Q286" s="288">
        <v>0</v>
      </c>
      <c r="R286" s="290">
        <v>0</v>
      </c>
      <c r="S286"/>
      <c r="T286"/>
      <c r="U286"/>
      <c r="V286"/>
    </row>
    <row r="287" spans="1:22" s="293" customFormat="1">
      <c r="A287" s="285"/>
      <c r="B287" s="595" t="s">
        <v>598</v>
      </c>
      <c r="C287" s="596">
        <v>9.0680837976920156E-2</v>
      </c>
      <c r="D287" s="597">
        <v>0</v>
      </c>
      <c r="E287" s="597">
        <v>0</v>
      </c>
      <c r="F287" s="597">
        <v>-0.48781960130030272</v>
      </c>
      <c r="G287" s="597">
        <v>0</v>
      </c>
      <c r="H287" s="597">
        <v>0</v>
      </c>
      <c r="I287" s="597">
        <v>0</v>
      </c>
      <c r="J287" s="598">
        <v>5.2986771440513905E-2</v>
      </c>
      <c r="K287" s="596">
        <v>0</v>
      </c>
      <c r="L287" s="597">
        <v>0</v>
      </c>
      <c r="M287" s="597">
        <v>0</v>
      </c>
      <c r="N287" s="597">
        <v>0</v>
      </c>
      <c r="O287" s="596">
        <v>0</v>
      </c>
      <c r="P287" s="599">
        <v>0</v>
      </c>
      <c r="Q287" s="597">
        <v>0</v>
      </c>
      <c r="R287" s="600">
        <v>0</v>
      </c>
      <c r="S287"/>
      <c r="T287"/>
      <c r="U287"/>
      <c r="V287"/>
    </row>
    <row r="288" spans="1:22">
      <c r="A288" s="285"/>
      <c r="B288" s="264" t="s">
        <v>599</v>
      </c>
      <c r="C288" s="281">
        <v>0</v>
      </c>
      <c r="D288" s="282">
        <v>0</v>
      </c>
      <c r="E288" s="282">
        <v>0</v>
      </c>
      <c r="F288" s="282">
        <v>0</v>
      </c>
      <c r="G288" s="282">
        <v>0</v>
      </c>
      <c r="H288" s="282">
        <v>0</v>
      </c>
      <c r="I288" s="282">
        <v>0</v>
      </c>
      <c r="J288" s="283">
        <v>0</v>
      </c>
      <c r="K288" s="281">
        <v>0</v>
      </c>
      <c r="L288" s="282">
        <v>0</v>
      </c>
      <c r="M288" s="282">
        <v>0</v>
      </c>
      <c r="N288" s="282">
        <v>0</v>
      </c>
      <c r="O288" s="281">
        <v>0</v>
      </c>
      <c r="P288" s="281">
        <v>0</v>
      </c>
      <c r="Q288" s="282">
        <v>0</v>
      </c>
      <c r="R288" s="284">
        <v>0</v>
      </c>
      <c r="S288"/>
      <c r="T288"/>
      <c r="U288"/>
      <c r="V288"/>
    </row>
    <row r="289" spans="1:22">
      <c r="A289" s="285"/>
      <c r="B289" s="286" t="s">
        <v>600</v>
      </c>
      <c r="C289" s="287">
        <v>0</v>
      </c>
      <c r="D289" s="288">
        <v>1.920578433033949E-3</v>
      </c>
      <c r="E289" s="288">
        <v>0</v>
      </c>
      <c r="F289" s="288">
        <v>0</v>
      </c>
      <c r="G289" s="288">
        <v>0</v>
      </c>
      <c r="H289" s="288">
        <v>0</v>
      </c>
      <c r="I289" s="288">
        <v>0</v>
      </c>
      <c r="J289" s="289">
        <v>1.0704497620610566E-4</v>
      </c>
      <c r="K289" s="287">
        <v>0</v>
      </c>
      <c r="L289" s="288">
        <v>0</v>
      </c>
      <c r="M289" s="288">
        <v>0</v>
      </c>
      <c r="N289" s="288">
        <v>0</v>
      </c>
      <c r="O289" s="287">
        <v>0</v>
      </c>
      <c r="P289" s="287">
        <v>0</v>
      </c>
      <c r="Q289" s="288">
        <v>0</v>
      </c>
      <c r="R289" s="290">
        <v>0</v>
      </c>
      <c r="S289"/>
      <c r="T289"/>
      <c r="U289"/>
      <c r="V289"/>
    </row>
    <row r="290" spans="1:22" s="293" customFormat="1">
      <c r="A290" s="285"/>
      <c r="B290" s="595" t="s">
        <v>601</v>
      </c>
      <c r="C290" s="596">
        <v>0</v>
      </c>
      <c r="D290" s="597">
        <v>0</v>
      </c>
      <c r="E290" s="597">
        <v>0</v>
      </c>
      <c r="F290" s="597">
        <v>0</v>
      </c>
      <c r="G290" s="597">
        <v>0</v>
      </c>
      <c r="H290" s="597">
        <v>0</v>
      </c>
      <c r="I290" s="597">
        <v>0</v>
      </c>
      <c r="J290" s="598">
        <v>0</v>
      </c>
      <c r="K290" s="596">
        <v>0</v>
      </c>
      <c r="L290" s="597">
        <v>0</v>
      </c>
      <c r="M290" s="597">
        <v>0</v>
      </c>
      <c r="N290" s="597">
        <v>0</v>
      </c>
      <c r="O290" s="596">
        <v>0</v>
      </c>
      <c r="P290" s="599">
        <v>0</v>
      </c>
      <c r="Q290" s="597">
        <v>0</v>
      </c>
      <c r="R290" s="600">
        <v>0</v>
      </c>
      <c r="S290"/>
      <c r="T290"/>
      <c r="U290"/>
      <c r="V290"/>
    </row>
    <row r="291" spans="1:22">
      <c r="A291" s="285"/>
      <c r="B291" s="264" t="s">
        <v>602</v>
      </c>
      <c r="C291" s="281">
        <v>0</v>
      </c>
      <c r="D291" s="282">
        <v>0</v>
      </c>
      <c r="E291" s="282">
        <v>0</v>
      </c>
      <c r="F291" s="282">
        <v>0</v>
      </c>
      <c r="G291" s="282">
        <v>0</v>
      </c>
      <c r="H291" s="282">
        <v>0</v>
      </c>
      <c r="I291" s="282">
        <v>0</v>
      </c>
      <c r="J291" s="283">
        <v>0</v>
      </c>
      <c r="K291" s="281">
        <v>0</v>
      </c>
      <c r="L291" s="282">
        <v>0</v>
      </c>
      <c r="M291" s="282">
        <v>0</v>
      </c>
      <c r="N291" s="282">
        <v>0</v>
      </c>
      <c r="O291" s="281">
        <v>0</v>
      </c>
      <c r="P291" s="281">
        <v>0</v>
      </c>
      <c r="Q291" s="282">
        <v>0</v>
      </c>
      <c r="R291" s="284">
        <v>0</v>
      </c>
      <c r="S291"/>
      <c r="T291"/>
      <c r="U291"/>
      <c r="V291"/>
    </row>
    <row r="292" spans="1:22">
      <c r="A292" s="285"/>
      <c r="B292" s="286" t="s">
        <v>603</v>
      </c>
      <c r="C292" s="287">
        <v>0</v>
      </c>
      <c r="D292" s="288">
        <v>0</v>
      </c>
      <c r="E292" s="288">
        <v>0</v>
      </c>
      <c r="F292" s="288">
        <v>0</v>
      </c>
      <c r="G292" s="288">
        <v>0</v>
      </c>
      <c r="H292" s="288">
        <v>0</v>
      </c>
      <c r="I292" s="288">
        <v>0</v>
      </c>
      <c r="J292" s="289">
        <v>0</v>
      </c>
      <c r="K292" s="287">
        <v>0</v>
      </c>
      <c r="L292" s="288">
        <v>0</v>
      </c>
      <c r="M292" s="288">
        <v>0</v>
      </c>
      <c r="N292" s="288">
        <v>0</v>
      </c>
      <c r="O292" s="287">
        <v>0</v>
      </c>
      <c r="P292" s="287">
        <v>0</v>
      </c>
      <c r="Q292" s="288">
        <v>0</v>
      </c>
      <c r="R292" s="290">
        <v>0</v>
      </c>
      <c r="S292"/>
      <c r="T292"/>
      <c r="U292"/>
      <c r="V292"/>
    </row>
    <row r="293" spans="1:22" s="293" customFormat="1">
      <c r="A293" s="292"/>
      <c r="B293" s="595" t="s">
        <v>604</v>
      </c>
      <c r="C293" s="596">
        <v>0</v>
      </c>
      <c r="D293" s="597">
        <v>0</v>
      </c>
      <c r="E293" s="597">
        <v>0</v>
      </c>
      <c r="F293" s="597">
        <v>0</v>
      </c>
      <c r="G293" s="597">
        <v>0</v>
      </c>
      <c r="H293" s="597">
        <v>0</v>
      </c>
      <c r="I293" s="597">
        <v>0</v>
      </c>
      <c r="J293" s="598">
        <v>0</v>
      </c>
      <c r="K293" s="596">
        <v>0</v>
      </c>
      <c r="L293" s="597">
        <v>0</v>
      </c>
      <c r="M293" s="597">
        <v>0</v>
      </c>
      <c r="N293" s="597">
        <v>0</v>
      </c>
      <c r="O293" s="596">
        <v>0</v>
      </c>
      <c r="P293" s="599">
        <v>0</v>
      </c>
      <c r="Q293" s="597">
        <v>0</v>
      </c>
      <c r="R293" s="600">
        <v>0</v>
      </c>
      <c r="S293"/>
      <c r="T293"/>
      <c r="U293"/>
      <c r="V293"/>
    </row>
    <row r="294" spans="1:22">
      <c r="A294" s="280" t="s">
        <v>227</v>
      </c>
      <c r="B294" s="264" t="s">
        <v>569</v>
      </c>
      <c r="C294" s="281">
        <v>0.86488117497917538</v>
      </c>
      <c r="D294" s="282">
        <v>0.9071190315568548</v>
      </c>
      <c r="E294" s="282">
        <v>0</v>
      </c>
      <c r="F294" s="282">
        <v>0.86456667094996076</v>
      </c>
      <c r="G294" s="282">
        <v>0.78786935160196525</v>
      </c>
      <c r="H294" s="282">
        <v>0</v>
      </c>
      <c r="I294" s="282">
        <v>0</v>
      </c>
      <c r="J294" s="283">
        <v>0.8764467165392037</v>
      </c>
      <c r="K294" s="281">
        <v>0</v>
      </c>
      <c r="L294" s="282">
        <v>0.8231181824987559</v>
      </c>
      <c r="M294" s="282">
        <v>0.87035016261405163</v>
      </c>
      <c r="N294" s="282">
        <v>0.91819948186528499</v>
      </c>
      <c r="O294" s="281">
        <v>0.85102161568193524</v>
      </c>
      <c r="P294" s="281">
        <v>0</v>
      </c>
      <c r="Q294" s="282">
        <v>0</v>
      </c>
      <c r="R294" s="284">
        <v>0</v>
      </c>
      <c r="S294"/>
      <c r="T294"/>
      <c r="U294"/>
      <c r="V294"/>
    </row>
    <row r="295" spans="1:22">
      <c r="A295" s="285"/>
      <c r="B295" s="286" t="s">
        <v>570</v>
      </c>
      <c r="C295" s="287">
        <v>0.86160152939553403</v>
      </c>
      <c r="D295" s="288">
        <v>0.90144906446167028</v>
      </c>
      <c r="E295" s="288">
        <v>0</v>
      </c>
      <c r="F295" s="288">
        <v>0.84482207449836655</v>
      </c>
      <c r="G295" s="288">
        <v>0.69584602691038333</v>
      </c>
      <c r="H295" s="288">
        <v>0</v>
      </c>
      <c r="I295" s="288">
        <v>0</v>
      </c>
      <c r="J295" s="289">
        <v>0.86695414333028065</v>
      </c>
      <c r="K295" s="287">
        <v>0</v>
      </c>
      <c r="L295" s="288">
        <v>0.79418558883547463</v>
      </c>
      <c r="M295" s="288">
        <v>0.83587410786165284</v>
      </c>
      <c r="N295" s="288">
        <v>0.9025271659935884</v>
      </c>
      <c r="O295" s="287">
        <v>0.81981580444048663</v>
      </c>
      <c r="P295" s="287">
        <v>0</v>
      </c>
      <c r="Q295" s="288">
        <v>0</v>
      </c>
      <c r="R295" s="290">
        <v>0</v>
      </c>
      <c r="S295"/>
      <c r="T295"/>
      <c r="U295"/>
      <c r="V295"/>
    </row>
    <row r="296" spans="1:22">
      <c r="A296" s="285"/>
      <c r="B296" s="595" t="s">
        <v>571</v>
      </c>
      <c r="C296" s="596">
        <v>-0.32796455836413552</v>
      </c>
      <c r="D296" s="597">
        <v>-0.56699670951845249</v>
      </c>
      <c r="E296" s="597">
        <v>0</v>
      </c>
      <c r="F296" s="597">
        <v>-1.974459645159421</v>
      </c>
      <c r="G296" s="597">
        <v>-9.2023324691581916</v>
      </c>
      <c r="H296" s="597">
        <v>0</v>
      </c>
      <c r="I296" s="597">
        <v>0</v>
      </c>
      <c r="J296" s="598">
        <v>-0.94925732089230497</v>
      </c>
      <c r="K296" s="596">
        <v>0</v>
      </c>
      <c r="L296" s="597">
        <v>-2.893259366328127</v>
      </c>
      <c r="M296" s="597">
        <v>-3.4476054752398788</v>
      </c>
      <c r="N296" s="597">
        <v>-1.5672315871696596</v>
      </c>
      <c r="O296" s="596">
        <v>-3.1205811241448611</v>
      </c>
      <c r="P296" s="599">
        <v>0</v>
      </c>
      <c r="Q296" s="597">
        <v>0</v>
      </c>
      <c r="R296" s="600">
        <v>0</v>
      </c>
      <c r="S296"/>
      <c r="T296"/>
      <c r="U296"/>
      <c r="V296"/>
    </row>
    <row r="297" spans="1:22">
      <c r="A297" s="285"/>
      <c r="B297" s="264" t="s">
        <v>572</v>
      </c>
      <c r="C297" s="281">
        <v>6.8130485438990376E-2</v>
      </c>
      <c r="D297" s="282">
        <v>5.2927066936511509E-2</v>
      </c>
      <c r="E297" s="282">
        <v>0</v>
      </c>
      <c r="F297" s="282">
        <v>1.9647027024631895E-2</v>
      </c>
      <c r="G297" s="282">
        <v>1.1210296865268839E-2</v>
      </c>
      <c r="H297" s="282">
        <v>0</v>
      </c>
      <c r="I297" s="282">
        <v>0</v>
      </c>
      <c r="J297" s="283">
        <v>5.3786722367794339E-2</v>
      </c>
      <c r="K297" s="281">
        <v>0</v>
      </c>
      <c r="L297" s="282">
        <v>0</v>
      </c>
      <c r="M297" s="282">
        <v>0</v>
      </c>
      <c r="N297" s="282">
        <v>0</v>
      </c>
      <c r="O297" s="281">
        <v>0</v>
      </c>
      <c r="P297" s="281">
        <v>0</v>
      </c>
      <c r="Q297" s="282">
        <v>0</v>
      </c>
      <c r="R297" s="284">
        <v>0</v>
      </c>
      <c r="S297"/>
      <c r="T297"/>
      <c r="U297"/>
      <c r="V297"/>
    </row>
    <row r="298" spans="1:22">
      <c r="A298" s="285"/>
      <c r="B298" s="286" t="s">
        <v>573</v>
      </c>
      <c r="C298" s="287">
        <v>6.4582799555897172E-2</v>
      </c>
      <c r="D298" s="288">
        <v>6.2641785963936672E-2</v>
      </c>
      <c r="E298" s="288">
        <v>0</v>
      </c>
      <c r="F298" s="288">
        <v>2.058645786804698E-2</v>
      </c>
      <c r="G298" s="288">
        <v>0</v>
      </c>
      <c r="H298" s="288">
        <v>0</v>
      </c>
      <c r="I298" s="288">
        <v>0</v>
      </c>
      <c r="J298" s="289">
        <v>5.5232949673175546E-2</v>
      </c>
      <c r="K298" s="287">
        <v>0</v>
      </c>
      <c r="L298" s="288">
        <v>0</v>
      </c>
      <c r="M298" s="288">
        <v>0</v>
      </c>
      <c r="N298" s="288">
        <v>0</v>
      </c>
      <c r="O298" s="287">
        <v>0</v>
      </c>
      <c r="P298" s="287">
        <v>0</v>
      </c>
      <c r="Q298" s="288">
        <v>0</v>
      </c>
      <c r="R298" s="290">
        <v>0</v>
      </c>
      <c r="S298"/>
      <c r="T298"/>
      <c r="U298"/>
      <c r="V298"/>
    </row>
    <row r="299" spans="1:22">
      <c r="A299" s="285"/>
      <c r="B299" s="595" t="s">
        <v>574</v>
      </c>
      <c r="C299" s="596">
        <v>-0.35476858830932045</v>
      </c>
      <c r="D299" s="597">
        <v>0.97147190274251627</v>
      </c>
      <c r="E299" s="597">
        <v>0</v>
      </c>
      <c r="F299" s="597">
        <v>9.3943084341508581E-2</v>
      </c>
      <c r="G299" s="597">
        <v>-1.1210296865268838</v>
      </c>
      <c r="H299" s="597">
        <v>0</v>
      </c>
      <c r="I299" s="597">
        <v>0</v>
      </c>
      <c r="J299" s="598">
        <v>0.14462273053812078</v>
      </c>
      <c r="K299" s="596">
        <v>0</v>
      </c>
      <c r="L299" s="597">
        <v>0</v>
      </c>
      <c r="M299" s="597">
        <v>0</v>
      </c>
      <c r="N299" s="597">
        <v>0</v>
      </c>
      <c r="O299" s="596">
        <v>0</v>
      </c>
      <c r="P299" s="599">
        <v>0</v>
      </c>
      <c r="Q299" s="597">
        <v>0</v>
      </c>
      <c r="R299" s="600">
        <v>0</v>
      </c>
      <c r="S299"/>
      <c r="T299"/>
      <c r="U299"/>
      <c r="V299"/>
    </row>
    <row r="300" spans="1:22">
      <c r="A300" s="285"/>
      <c r="B300" s="264" t="s">
        <v>575</v>
      </c>
      <c r="C300" s="281">
        <v>5.9888404519441454E-2</v>
      </c>
      <c r="D300" s="282">
        <v>2.1834944906678661E-2</v>
      </c>
      <c r="E300" s="282">
        <v>0</v>
      </c>
      <c r="F300" s="282">
        <v>0.1099905619829584</v>
      </c>
      <c r="G300" s="282">
        <v>0.20092035153276591</v>
      </c>
      <c r="H300" s="282">
        <v>0</v>
      </c>
      <c r="I300" s="282">
        <v>0</v>
      </c>
      <c r="J300" s="283">
        <v>5.9344424773307619E-2</v>
      </c>
      <c r="K300" s="281">
        <v>0</v>
      </c>
      <c r="L300" s="282">
        <v>0.17688181750124404</v>
      </c>
      <c r="M300" s="282">
        <v>0.1296498373859484</v>
      </c>
      <c r="N300" s="282">
        <v>8.180051813471502E-2</v>
      </c>
      <c r="O300" s="281">
        <v>0.14897838431806482</v>
      </c>
      <c r="P300" s="281">
        <v>0</v>
      </c>
      <c r="Q300" s="282">
        <v>0</v>
      </c>
      <c r="R300" s="284">
        <v>0</v>
      </c>
      <c r="S300"/>
      <c r="T300"/>
      <c r="U300"/>
      <c r="V300"/>
    </row>
    <row r="301" spans="1:22">
      <c r="A301" s="285"/>
      <c r="B301" s="286" t="s">
        <v>576</v>
      </c>
      <c r="C301" s="287">
        <v>6.9721515993614383E-2</v>
      </c>
      <c r="D301" s="288">
        <v>2.1578751789783874E-2</v>
      </c>
      <c r="E301" s="288">
        <v>0</v>
      </c>
      <c r="F301" s="288">
        <v>0.12755852754933131</v>
      </c>
      <c r="G301" s="288">
        <v>0.30415397308961667</v>
      </c>
      <c r="H301" s="288">
        <v>0</v>
      </c>
      <c r="I301" s="288">
        <v>0</v>
      </c>
      <c r="J301" s="289">
        <v>6.9839648155562609E-2</v>
      </c>
      <c r="K301" s="287">
        <v>0</v>
      </c>
      <c r="L301" s="288">
        <v>0.20581441116452542</v>
      </c>
      <c r="M301" s="288">
        <v>0.16412589213834713</v>
      </c>
      <c r="N301" s="288">
        <v>9.7472834006411588E-2</v>
      </c>
      <c r="O301" s="287">
        <v>0.1801841955595134</v>
      </c>
      <c r="P301" s="287">
        <v>0</v>
      </c>
      <c r="Q301" s="288">
        <v>0</v>
      </c>
      <c r="R301" s="290">
        <v>0</v>
      </c>
      <c r="S301"/>
      <c r="T301"/>
      <c r="U301"/>
      <c r="V301"/>
    </row>
    <row r="302" spans="1:22">
      <c r="A302" s="285"/>
      <c r="B302" s="595" t="s">
        <v>577</v>
      </c>
      <c r="C302" s="596">
        <v>0.98331114741729286</v>
      </c>
      <c r="D302" s="597">
        <v>-2.561931168947873E-2</v>
      </c>
      <c r="E302" s="597">
        <v>0</v>
      </c>
      <c r="F302" s="597">
        <v>1.7567965566372912</v>
      </c>
      <c r="G302" s="597">
        <v>10.323362155685075</v>
      </c>
      <c r="H302" s="597">
        <v>0</v>
      </c>
      <c r="I302" s="597">
        <v>0</v>
      </c>
      <c r="J302" s="598">
        <v>1.049522338225499</v>
      </c>
      <c r="K302" s="596">
        <v>0</v>
      </c>
      <c r="L302" s="597">
        <v>2.8932593663281381</v>
      </c>
      <c r="M302" s="597">
        <v>3.4476054752398735</v>
      </c>
      <c r="N302" s="597">
        <v>1.5672315871696569</v>
      </c>
      <c r="O302" s="596">
        <v>3.1205811241448584</v>
      </c>
      <c r="P302" s="599">
        <v>0</v>
      </c>
      <c r="Q302" s="597">
        <v>0</v>
      </c>
      <c r="R302" s="600">
        <v>0</v>
      </c>
      <c r="S302"/>
      <c r="T302"/>
      <c r="U302"/>
      <c r="V302"/>
    </row>
    <row r="303" spans="1:22">
      <c r="A303" s="285"/>
      <c r="B303" s="264" t="s">
        <v>578</v>
      </c>
      <c r="C303" s="281">
        <v>9.9904011146047505E-4</v>
      </c>
      <c r="D303" s="282">
        <v>1.811333483247133E-2</v>
      </c>
      <c r="E303" s="282">
        <v>0</v>
      </c>
      <c r="F303" s="282">
        <v>0</v>
      </c>
      <c r="G303" s="282">
        <v>0</v>
      </c>
      <c r="H303" s="282">
        <v>0</v>
      </c>
      <c r="I303" s="282">
        <v>0</v>
      </c>
      <c r="J303" s="283">
        <v>6.6797702970398717E-3</v>
      </c>
      <c r="K303" s="281">
        <v>0</v>
      </c>
      <c r="L303" s="282">
        <v>0</v>
      </c>
      <c r="M303" s="282">
        <v>0</v>
      </c>
      <c r="N303" s="282">
        <v>0</v>
      </c>
      <c r="O303" s="281">
        <v>0</v>
      </c>
      <c r="P303" s="281">
        <v>0</v>
      </c>
      <c r="Q303" s="282">
        <v>0</v>
      </c>
      <c r="R303" s="284">
        <v>0</v>
      </c>
      <c r="S303"/>
      <c r="T303"/>
      <c r="U303"/>
      <c r="V303"/>
    </row>
    <row r="304" spans="1:22">
      <c r="A304" s="285"/>
      <c r="B304" s="286" t="s">
        <v>579</v>
      </c>
      <c r="C304" s="287">
        <v>6.2542291596865004E-4</v>
      </c>
      <c r="D304" s="288">
        <v>1.4320003395500443E-2</v>
      </c>
      <c r="E304" s="288">
        <v>0</v>
      </c>
      <c r="F304" s="288">
        <v>0</v>
      </c>
      <c r="G304" s="288">
        <v>0</v>
      </c>
      <c r="H304" s="288">
        <v>0</v>
      </c>
      <c r="I304" s="288">
        <v>0</v>
      </c>
      <c r="J304" s="289">
        <v>5.3641856847666518E-3</v>
      </c>
      <c r="K304" s="287">
        <v>0</v>
      </c>
      <c r="L304" s="288">
        <v>0</v>
      </c>
      <c r="M304" s="288">
        <v>0</v>
      </c>
      <c r="N304" s="288">
        <v>0</v>
      </c>
      <c r="O304" s="287">
        <v>0</v>
      </c>
      <c r="P304" s="287">
        <v>0</v>
      </c>
      <c r="Q304" s="288">
        <v>0</v>
      </c>
      <c r="R304" s="290">
        <v>0</v>
      </c>
      <c r="S304"/>
      <c r="T304"/>
      <c r="U304"/>
      <c r="V304"/>
    </row>
    <row r="305" spans="1:22">
      <c r="A305" s="285"/>
      <c r="B305" s="595" t="s">
        <v>580</v>
      </c>
      <c r="C305" s="596">
        <v>-3.73617195491825E-2</v>
      </c>
      <c r="D305" s="597">
        <v>-0.3793331436970887</v>
      </c>
      <c r="E305" s="597">
        <v>0</v>
      </c>
      <c r="F305" s="597">
        <v>0</v>
      </c>
      <c r="G305" s="597">
        <v>0</v>
      </c>
      <c r="H305" s="597">
        <v>0</v>
      </c>
      <c r="I305" s="597">
        <v>0</v>
      </c>
      <c r="J305" s="598">
        <v>-0.13155846122732198</v>
      </c>
      <c r="K305" s="596">
        <v>0</v>
      </c>
      <c r="L305" s="597">
        <v>0</v>
      </c>
      <c r="M305" s="597">
        <v>0</v>
      </c>
      <c r="N305" s="597">
        <v>0</v>
      </c>
      <c r="O305" s="596">
        <v>0</v>
      </c>
      <c r="P305" s="599">
        <v>0</v>
      </c>
      <c r="Q305" s="597">
        <v>0</v>
      </c>
      <c r="R305" s="600">
        <v>0</v>
      </c>
      <c r="S305"/>
      <c r="T305"/>
      <c r="U305"/>
      <c r="V305"/>
    </row>
    <row r="306" spans="1:22">
      <c r="A306" s="285"/>
      <c r="B306" s="264" t="s">
        <v>581</v>
      </c>
      <c r="C306" s="281">
        <v>3.4156371378310838E-3</v>
      </c>
      <c r="D306" s="282">
        <v>0</v>
      </c>
      <c r="E306" s="282">
        <v>0</v>
      </c>
      <c r="F306" s="282">
        <v>2.0471191893053531E-3</v>
      </c>
      <c r="G306" s="282">
        <v>0</v>
      </c>
      <c r="H306" s="282">
        <v>0</v>
      </c>
      <c r="I306" s="282">
        <v>0</v>
      </c>
      <c r="J306" s="283">
        <v>1.9206104870981449E-3</v>
      </c>
      <c r="K306" s="281">
        <v>0</v>
      </c>
      <c r="L306" s="282">
        <v>0</v>
      </c>
      <c r="M306" s="282">
        <v>0</v>
      </c>
      <c r="N306" s="282">
        <v>0</v>
      </c>
      <c r="O306" s="281">
        <v>0</v>
      </c>
      <c r="P306" s="281">
        <v>0</v>
      </c>
      <c r="Q306" s="282">
        <v>0</v>
      </c>
      <c r="R306" s="284">
        <v>0</v>
      </c>
      <c r="S306"/>
      <c r="T306"/>
      <c r="U306"/>
      <c r="V306"/>
    </row>
    <row r="307" spans="1:22">
      <c r="A307" s="285"/>
      <c r="B307" s="286" t="s">
        <v>582</v>
      </c>
      <c r="C307" s="287">
        <v>3.4687321389857899E-3</v>
      </c>
      <c r="D307" s="288">
        <v>0</v>
      </c>
      <c r="E307" s="288">
        <v>0</v>
      </c>
      <c r="F307" s="288">
        <v>2.469849444283875E-3</v>
      </c>
      <c r="G307" s="288">
        <v>0</v>
      </c>
      <c r="H307" s="288">
        <v>0</v>
      </c>
      <c r="I307" s="288">
        <v>0</v>
      </c>
      <c r="J307" s="289">
        <v>1.9660090292830416E-3</v>
      </c>
      <c r="K307" s="287">
        <v>0</v>
      </c>
      <c r="L307" s="288">
        <v>0</v>
      </c>
      <c r="M307" s="288">
        <v>0</v>
      </c>
      <c r="N307" s="288">
        <v>0</v>
      </c>
      <c r="O307" s="287">
        <v>0</v>
      </c>
      <c r="P307" s="287">
        <v>0</v>
      </c>
      <c r="Q307" s="288">
        <v>0</v>
      </c>
      <c r="R307" s="290">
        <v>0</v>
      </c>
      <c r="S307"/>
      <c r="T307"/>
      <c r="U307"/>
      <c r="V307"/>
    </row>
    <row r="308" spans="1:22">
      <c r="A308" s="285"/>
      <c r="B308" s="595" t="s">
        <v>583</v>
      </c>
      <c r="C308" s="596">
        <v>5.309500115470607E-3</v>
      </c>
      <c r="D308" s="597">
        <v>0</v>
      </c>
      <c r="E308" s="597">
        <v>0</v>
      </c>
      <c r="F308" s="597">
        <v>4.2273025497852189E-2</v>
      </c>
      <c r="G308" s="597">
        <v>0</v>
      </c>
      <c r="H308" s="597">
        <v>0</v>
      </c>
      <c r="I308" s="597">
        <v>0</v>
      </c>
      <c r="J308" s="598">
        <v>4.5398542184896685E-3</v>
      </c>
      <c r="K308" s="596">
        <v>0</v>
      </c>
      <c r="L308" s="597">
        <v>0</v>
      </c>
      <c r="M308" s="597">
        <v>0</v>
      </c>
      <c r="N308" s="597">
        <v>0</v>
      </c>
      <c r="O308" s="596">
        <v>0</v>
      </c>
      <c r="P308" s="599">
        <v>0</v>
      </c>
      <c r="Q308" s="597">
        <v>0</v>
      </c>
      <c r="R308" s="600">
        <v>0</v>
      </c>
      <c r="S308"/>
      <c r="T308"/>
      <c r="U308"/>
      <c r="V308"/>
    </row>
    <row r="309" spans="1:22">
      <c r="A309" s="285"/>
      <c r="B309" s="264" t="s">
        <v>584</v>
      </c>
      <c r="C309" s="281">
        <v>2.6852578131011961E-3</v>
      </c>
      <c r="D309" s="282">
        <v>5.6217674836968743E-6</v>
      </c>
      <c r="E309" s="282">
        <v>0</v>
      </c>
      <c r="F309" s="282">
        <v>3.7486208531435686E-3</v>
      </c>
      <c r="G309" s="282">
        <v>0</v>
      </c>
      <c r="H309" s="282">
        <v>0</v>
      </c>
      <c r="I309" s="282">
        <v>0</v>
      </c>
      <c r="J309" s="283">
        <v>1.8217555355563287E-3</v>
      </c>
      <c r="K309" s="281">
        <v>0</v>
      </c>
      <c r="L309" s="282">
        <v>0</v>
      </c>
      <c r="M309" s="282">
        <v>0</v>
      </c>
      <c r="N309" s="282">
        <v>0</v>
      </c>
      <c r="O309" s="281">
        <v>0</v>
      </c>
      <c r="P309" s="281">
        <v>0</v>
      </c>
      <c r="Q309" s="282">
        <v>0</v>
      </c>
      <c r="R309" s="284">
        <v>0</v>
      </c>
      <c r="S309"/>
      <c r="T309"/>
      <c r="U309"/>
      <c r="V309"/>
    </row>
    <row r="310" spans="1:22">
      <c r="A310" s="285"/>
      <c r="B310" s="286" t="s">
        <v>585</v>
      </c>
      <c r="C310" s="287">
        <v>0</v>
      </c>
      <c r="D310" s="288">
        <v>1.0394389108759091E-5</v>
      </c>
      <c r="E310" s="288">
        <v>0</v>
      </c>
      <c r="F310" s="288">
        <v>4.5630906399712727E-3</v>
      </c>
      <c r="G310" s="288">
        <v>0</v>
      </c>
      <c r="H310" s="288">
        <v>0</v>
      </c>
      <c r="I310" s="288">
        <v>0</v>
      </c>
      <c r="J310" s="289">
        <v>6.4306412693153174E-4</v>
      </c>
      <c r="K310" s="287">
        <v>0</v>
      </c>
      <c r="L310" s="288">
        <v>0</v>
      </c>
      <c r="M310" s="288">
        <v>0</v>
      </c>
      <c r="N310" s="288">
        <v>0</v>
      </c>
      <c r="O310" s="287">
        <v>0</v>
      </c>
      <c r="P310" s="287">
        <v>0</v>
      </c>
      <c r="Q310" s="288">
        <v>0</v>
      </c>
      <c r="R310" s="290">
        <v>0</v>
      </c>
      <c r="S310"/>
      <c r="T310"/>
      <c r="U310"/>
      <c r="V310"/>
    </row>
    <row r="311" spans="1:22">
      <c r="A311" s="285"/>
      <c r="B311" s="595" t="s">
        <v>586</v>
      </c>
      <c r="C311" s="596">
        <v>-0.26852578131011962</v>
      </c>
      <c r="D311" s="597">
        <v>4.7726216250622169E-4</v>
      </c>
      <c r="E311" s="597">
        <v>0</v>
      </c>
      <c r="F311" s="597">
        <v>8.1446978682770413E-2</v>
      </c>
      <c r="G311" s="597">
        <v>0</v>
      </c>
      <c r="H311" s="597">
        <v>0</v>
      </c>
      <c r="I311" s="597">
        <v>0</v>
      </c>
      <c r="J311" s="598">
        <v>-0.1178691408624797</v>
      </c>
      <c r="K311" s="596">
        <v>0</v>
      </c>
      <c r="L311" s="597">
        <v>0</v>
      </c>
      <c r="M311" s="597">
        <v>0</v>
      </c>
      <c r="N311" s="597">
        <v>0</v>
      </c>
      <c r="O311" s="596">
        <v>0</v>
      </c>
      <c r="P311" s="599">
        <v>0</v>
      </c>
      <c r="Q311" s="597">
        <v>0</v>
      </c>
      <c r="R311" s="600">
        <v>0</v>
      </c>
      <c r="S311"/>
      <c r="T311"/>
      <c r="U311"/>
      <c r="V311"/>
    </row>
    <row r="312" spans="1:22">
      <c r="A312" s="285"/>
      <c r="B312" s="264" t="s">
        <v>587</v>
      </c>
      <c r="C312" s="281">
        <v>0.71494486908974475</v>
      </c>
      <c r="D312" s="282">
        <v>0.83142495159323981</v>
      </c>
      <c r="E312" s="282">
        <v>0</v>
      </c>
      <c r="F312" s="282">
        <v>0.5875638232137631</v>
      </c>
      <c r="G312" s="282">
        <v>0.72331747110808975</v>
      </c>
      <c r="H312" s="282">
        <v>0</v>
      </c>
      <c r="I312" s="282">
        <v>0</v>
      </c>
      <c r="J312" s="283">
        <v>0.7393206970065952</v>
      </c>
      <c r="K312" s="281">
        <v>0</v>
      </c>
      <c r="L312" s="282">
        <v>0</v>
      </c>
      <c r="M312" s="282">
        <v>0</v>
      </c>
      <c r="N312" s="282">
        <v>0</v>
      </c>
      <c r="O312" s="281">
        <v>0</v>
      </c>
      <c r="P312" s="281">
        <v>0</v>
      </c>
      <c r="Q312" s="282">
        <v>0</v>
      </c>
      <c r="R312" s="284">
        <v>0</v>
      </c>
      <c r="S312"/>
      <c r="T312"/>
      <c r="U312"/>
      <c r="V312"/>
    </row>
    <row r="313" spans="1:22">
      <c r="A313" s="285"/>
      <c r="B313" s="286" t="s">
        <v>588</v>
      </c>
      <c r="C313" s="287">
        <v>0.68800612384674265</v>
      </c>
      <c r="D313" s="288">
        <v>0.82114228742344397</v>
      </c>
      <c r="E313" s="288">
        <v>0</v>
      </c>
      <c r="F313" s="288">
        <v>0.5871051944661968</v>
      </c>
      <c r="G313" s="288">
        <v>0.66340813152632749</v>
      </c>
      <c r="H313" s="288">
        <v>0</v>
      </c>
      <c r="I313" s="288">
        <v>0</v>
      </c>
      <c r="J313" s="289">
        <v>0.71827225305630427</v>
      </c>
      <c r="K313" s="287">
        <v>0</v>
      </c>
      <c r="L313" s="288">
        <v>0</v>
      </c>
      <c r="M313" s="288">
        <v>0</v>
      </c>
      <c r="N313" s="288">
        <v>0</v>
      </c>
      <c r="O313" s="287">
        <v>0</v>
      </c>
      <c r="P313" s="287">
        <v>0</v>
      </c>
      <c r="Q313" s="288">
        <v>0</v>
      </c>
      <c r="R313" s="290">
        <v>0</v>
      </c>
      <c r="S313"/>
      <c r="T313"/>
      <c r="U313"/>
      <c r="V313"/>
    </row>
    <row r="314" spans="1:22">
      <c r="A314" s="285"/>
      <c r="B314" s="595" t="s">
        <v>589</v>
      </c>
      <c r="C314" s="596">
        <v>-2.6938745243002105</v>
      </c>
      <c r="D314" s="597">
        <v>-1.0282664169795841</v>
      </c>
      <c r="E314" s="597">
        <v>0</v>
      </c>
      <c r="F314" s="597">
        <v>-4.5862874756630312E-2</v>
      </c>
      <c r="G314" s="597">
        <v>-5.9909339581762255</v>
      </c>
      <c r="H314" s="597">
        <v>0</v>
      </c>
      <c r="I314" s="597">
        <v>0</v>
      </c>
      <c r="J314" s="598">
        <v>-2.1048443950290929</v>
      </c>
      <c r="K314" s="596">
        <v>0</v>
      </c>
      <c r="L314" s="597">
        <v>0</v>
      </c>
      <c r="M314" s="597">
        <v>0</v>
      </c>
      <c r="N314" s="597">
        <v>0</v>
      </c>
      <c r="O314" s="596">
        <v>0</v>
      </c>
      <c r="P314" s="599">
        <v>0</v>
      </c>
      <c r="Q314" s="597">
        <v>0</v>
      </c>
      <c r="R314" s="600">
        <v>0</v>
      </c>
      <c r="S314"/>
      <c r="T314"/>
      <c r="U314"/>
      <c r="V314"/>
    </row>
    <row r="315" spans="1:22">
      <c r="A315" s="285"/>
      <c r="B315" s="264" t="s">
        <v>590</v>
      </c>
      <c r="C315" s="281">
        <v>8.5688951650643261E-2</v>
      </c>
      <c r="D315" s="282">
        <v>0.12460258647479262</v>
      </c>
      <c r="E315" s="282">
        <v>0</v>
      </c>
      <c r="F315" s="282">
        <v>5.2034212494715272E-2</v>
      </c>
      <c r="G315" s="282">
        <v>0</v>
      </c>
      <c r="H315" s="282">
        <v>0</v>
      </c>
      <c r="I315" s="282">
        <v>0</v>
      </c>
      <c r="J315" s="283">
        <v>9.3347019685906515E-2</v>
      </c>
      <c r="K315" s="281">
        <v>0</v>
      </c>
      <c r="L315" s="282">
        <v>0</v>
      </c>
      <c r="M315" s="282">
        <v>0</v>
      </c>
      <c r="N315" s="282">
        <v>0</v>
      </c>
      <c r="O315" s="281">
        <v>0</v>
      </c>
      <c r="P315" s="281">
        <v>0</v>
      </c>
      <c r="Q315" s="282">
        <v>0</v>
      </c>
      <c r="R315" s="284">
        <v>0</v>
      </c>
      <c r="S315"/>
      <c r="T315"/>
      <c r="U315"/>
      <c r="V315"/>
    </row>
    <row r="316" spans="1:22">
      <c r="A316" s="285"/>
      <c r="B316" s="286" t="s">
        <v>591</v>
      </c>
      <c r="C316" s="287">
        <v>6.9086660489101975E-2</v>
      </c>
      <c r="D316" s="288">
        <v>0.13914826947728243</v>
      </c>
      <c r="E316" s="288">
        <v>0</v>
      </c>
      <c r="F316" s="288">
        <v>1.8245888801879405E-2</v>
      </c>
      <c r="G316" s="288">
        <v>6.131970673183737E-2</v>
      </c>
      <c r="H316" s="288">
        <v>0</v>
      </c>
      <c r="I316" s="288">
        <v>0</v>
      </c>
      <c r="J316" s="289">
        <v>8.5444982595703989E-2</v>
      </c>
      <c r="K316" s="287">
        <v>0</v>
      </c>
      <c r="L316" s="288">
        <v>0</v>
      </c>
      <c r="M316" s="288">
        <v>0</v>
      </c>
      <c r="N316" s="288">
        <v>0</v>
      </c>
      <c r="O316" s="287">
        <v>0</v>
      </c>
      <c r="P316" s="287">
        <v>0</v>
      </c>
      <c r="Q316" s="288">
        <v>0</v>
      </c>
      <c r="R316" s="290">
        <v>0</v>
      </c>
      <c r="S316"/>
      <c r="T316"/>
      <c r="U316"/>
      <c r="V316"/>
    </row>
    <row r="317" spans="1:22">
      <c r="A317" s="285"/>
      <c r="B317" s="595" t="s">
        <v>592</v>
      </c>
      <c r="C317" s="596">
        <v>-1.6602291161541285</v>
      </c>
      <c r="D317" s="597">
        <v>1.4545683002489804</v>
      </c>
      <c r="E317" s="597">
        <v>0</v>
      </c>
      <c r="F317" s="597">
        <v>-3.3788323692835869</v>
      </c>
      <c r="G317" s="597">
        <v>0</v>
      </c>
      <c r="H317" s="597">
        <v>0</v>
      </c>
      <c r="I317" s="597">
        <v>0</v>
      </c>
      <c r="J317" s="598">
        <v>-0.79020370902025272</v>
      </c>
      <c r="K317" s="596">
        <v>0</v>
      </c>
      <c r="L317" s="597">
        <v>0</v>
      </c>
      <c r="M317" s="597">
        <v>0</v>
      </c>
      <c r="N317" s="597">
        <v>0</v>
      </c>
      <c r="O317" s="596">
        <v>0</v>
      </c>
      <c r="P317" s="599">
        <v>0</v>
      </c>
      <c r="Q317" s="597">
        <v>0</v>
      </c>
      <c r="R317" s="600">
        <v>0</v>
      </c>
      <c r="S317"/>
      <c r="T317"/>
      <c r="U317"/>
      <c r="V317"/>
    </row>
    <row r="318" spans="1:22">
      <c r="A318" s="285"/>
      <c r="B318" s="264" t="s">
        <v>593</v>
      </c>
      <c r="C318" s="281">
        <v>0.19401318544182725</v>
      </c>
      <c r="D318" s="282">
        <v>3.3179547247388426E-2</v>
      </c>
      <c r="E318" s="282">
        <v>0</v>
      </c>
      <c r="F318" s="282">
        <v>0.35181631922989365</v>
      </c>
      <c r="G318" s="282">
        <v>0.27668252889191025</v>
      </c>
      <c r="H318" s="282">
        <v>0</v>
      </c>
      <c r="I318" s="282">
        <v>0</v>
      </c>
      <c r="J318" s="283">
        <v>0.15977292845002058</v>
      </c>
      <c r="K318" s="281">
        <v>0</v>
      </c>
      <c r="L318" s="282">
        <v>0</v>
      </c>
      <c r="M318" s="282">
        <v>0</v>
      </c>
      <c r="N318" s="282">
        <v>0</v>
      </c>
      <c r="O318" s="281">
        <v>0</v>
      </c>
      <c r="P318" s="281">
        <v>0</v>
      </c>
      <c r="Q318" s="282">
        <v>0</v>
      </c>
      <c r="R318" s="284">
        <v>0</v>
      </c>
      <c r="S318"/>
      <c r="T318"/>
      <c r="U318"/>
      <c r="V318"/>
    </row>
    <row r="319" spans="1:22">
      <c r="A319" s="285"/>
      <c r="B319" s="286" t="s">
        <v>594</v>
      </c>
      <c r="C319" s="287">
        <v>0.23811288828008542</v>
      </c>
      <c r="D319" s="288">
        <v>2.7779518587095854E-2</v>
      </c>
      <c r="E319" s="288">
        <v>0</v>
      </c>
      <c r="F319" s="288">
        <v>0.38901070216653616</v>
      </c>
      <c r="G319" s="288">
        <v>0.27527216174183516</v>
      </c>
      <c r="H319" s="288">
        <v>0</v>
      </c>
      <c r="I319" s="288">
        <v>0</v>
      </c>
      <c r="J319" s="289">
        <v>0.18898729182086435</v>
      </c>
      <c r="K319" s="287">
        <v>0</v>
      </c>
      <c r="L319" s="288">
        <v>0</v>
      </c>
      <c r="M319" s="288">
        <v>0</v>
      </c>
      <c r="N319" s="288">
        <v>0</v>
      </c>
      <c r="O319" s="287">
        <v>0</v>
      </c>
      <c r="P319" s="287">
        <v>0</v>
      </c>
      <c r="Q319" s="288">
        <v>0</v>
      </c>
      <c r="R319" s="290">
        <v>0</v>
      </c>
      <c r="S319"/>
      <c r="T319"/>
      <c r="U319"/>
      <c r="V319"/>
    </row>
    <row r="320" spans="1:22">
      <c r="A320" s="285"/>
      <c r="B320" s="595" t="s">
        <v>595</v>
      </c>
      <c r="C320" s="596">
        <v>4.4099702838258175</v>
      </c>
      <c r="D320" s="597">
        <v>-0.54000286602925718</v>
      </c>
      <c r="E320" s="597">
        <v>0</v>
      </c>
      <c r="F320" s="597">
        <v>3.7194382936642514</v>
      </c>
      <c r="G320" s="597">
        <v>-0.1410367150075087</v>
      </c>
      <c r="H320" s="597">
        <v>0</v>
      </c>
      <c r="I320" s="597">
        <v>0</v>
      </c>
      <c r="J320" s="598">
        <v>2.9214363370843763</v>
      </c>
      <c r="K320" s="596">
        <v>0</v>
      </c>
      <c r="L320" s="597">
        <v>0</v>
      </c>
      <c r="M320" s="597">
        <v>0</v>
      </c>
      <c r="N320" s="597">
        <v>0</v>
      </c>
      <c r="O320" s="596">
        <v>0</v>
      </c>
      <c r="P320" s="599">
        <v>0</v>
      </c>
      <c r="Q320" s="597">
        <v>0</v>
      </c>
      <c r="R320" s="600">
        <v>0</v>
      </c>
      <c r="S320"/>
      <c r="T320"/>
      <c r="U320"/>
      <c r="V320"/>
    </row>
    <row r="321" spans="1:22">
      <c r="A321" s="285"/>
      <c r="B321" s="264" t="s">
        <v>596</v>
      </c>
      <c r="C321" s="281">
        <v>5.1313207609132933E-3</v>
      </c>
      <c r="D321" s="282">
        <v>1.079291468457916E-2</v>
      </c>
      <c r="E321" s="282">
        <v>0</v>
      </c>
      <c r="F321" s="282">
        <v>0</v>
      </c>
      <c r="G321" s="282">
        <v>0</v>
      </c>
      <c r="H321" s="282">
        <v>0</v>
      </c>
      <c r="I321" s="282">
        <v>0</v>
      </c>
      <c r="J321" s="283">
        <v>6.3500243112841756E-3</v>
      </c>
      <c r="K321" s="281">
        <v>0</v>
      </c>
      <c r="L321" s="282">
        <v>0</v>
      </c>
      <c r="M321" s="282">
        <v>0</v>
      </c>
      <c r="N321" s="282">
        <v>0</v>
      </c>
      <c r="O321" s="281">
        <v>0</v>
      </c>
      <c r="P321" s="281">
        <v>0</v>
      </c>
      <c r="Q321" s="282">
        <v>0</v>
      </c>
      <c r="R321" s="284">
        <v>0</v>
      </c>
      <c r="S321"/>
      <c r="T321"/>
      <c r="U321"/>
      <c r="V321"/>
    </row>
    <row r="322" spans="1:22">
      <c r="A322" s="285"/>
      <c r="B322" s="286" t="s">
        <v>597</v>
      </c>
      <c r="C322" s="287">
        <v>4.7459812255751174E-3</v>
      </c>
      <c r="D322" s="288">
        <v>1.1895741347386413E-2</v>
      </c>
      <c r="E322" s="288">
        <v>0</v>
      </c>
      <c r="F322" s="288">
        <v>0</v>
      </c>
      <c r="G322" s="288">
        <v>0</v>
      </c>
      <c r="H322" s="288">
        <v>0</v>
      </c>
      <c r="I322" s="288">
        <v>0</v>
      </c>
      <c r="J322" s="289">
        <v>6.4120057248648783E-3</v>
      </c>
      <c r="K322" s="287">
        <v>0</v>
      </c>
      <c r="L322" s="288">
        <v>0</v>
      </c>
      <c r="M322" s="288">
        <v>0</v>
      </c>
      <c r="N322" s="288">
        <v>0</v>
      </c>
      <c r="O322" s="287">
        <v>0</v>
      </c>
      <c r="P322" s="287">
        <v>0</v>
      </c>
      <c r="Q322" s="288">
        <v>0</v>
      </c>
      <c r="R322" s="290">
        <v>0</v>
      </c>
      <c r="S322"/>
      <c r="T322"/>
      <c r="U322"/>
      <c r="V322"/>
    </row>
    <row r="323" spans="1:22">
      <c r="A323" s="285"/>
      <c r="B323" s="595" t="s">
        <v>598</v>
      </c>
      <c r="C323" s="596">
        <v>-3.8533953533817583E-2</v>
      </c>
      <c r="D323" s="597">
        <v>0.11028266628072531</v>
      </c>
      <c r="E323" s="597">
        <v>0</v>
      </c>
      <c r="F323" s="597">
        <v>0</v>
      </c>
      <c r="G323" s="597">
        <v>0</v>
      </c>
      <c r="H323" s="597">
        <v>0</v>
      </c>
      <c r="I323" s="597">
        <v>0</v>
      </c>
      <c r="J323" s="598">
        <v>6.1981413580702686E-3</v>
      </c>
      <c r="K323" s="596">
        <v>0</v>
      </c>
      <c r="L323" s="597">
        <v>0</v>
      </c>
      <c r="M323" s="597">
        <v>0</v>
      </c>
      <c r="N323" s="597">
        <v>0</v>
      </c>
      <c r="O323" s="596">
        <v>0</v>
      </c>
      <c r="P323" s="599">
        <v>0</v>
      </c>
      <c r="Q323" s="597">
        <v>0</v>
      </c>
      <c r="R323" s="600">
        <v>0</v>
      </c>
      <c r="S323"/>
      <c r="T323"/>
      <c r="U323"/>
      <c r="V323"/>
    </row>
    <row r="324" spans="1:22">
      <c r="A324" s="285"/>
      <c r="B324" s="264" t="s">
        <v>599</v>
      </c>
      <c r="C324" s="281">
        <v>1.7241237756668664E-4</v>
      </c>
      <c r="D324" s="282">
        <v>0</v>
      </c>
      <c r="E324" s="282">
        <v>0</v>
      </c>
      <c r="F324" s="282">
        <v>8.5856450616280198E-3</v>
      </c>
      <c r="G324" s="282">
        <v>0</v>
      </c>
      <c r="H324" s="282">
        <v>0</v>
      </c>
      <c r="I324" s="282">
        <v>0</v>
      </c>
      <c r="J324" s="283">
        <v>1.1843958957565382E-3</v>
      </c>
      <c r="K324" s="281">
        <v>0</v>
      </c>
      <c r="L324" s="282">
        <v>0</v>
      </c>
      <c r="M324" s="282">
        <v>0</v>
      </c>
      <c r="N324" s="282">
        <v>0</v>
      </c>
      <c r="O324" s="281">
        <v>0</v>
      </c>
      <c r="P324" s="281">
        <v>0</v>
      </c>
      <c r="Q324" s="282">
        <v>0</v>
      </c>
      <c r="R324" s="284">
        <v>0</v>
      </c>
      <c r="S324"/>
      <c r="T324"/>
      <c r="U324"/>
      <c r="V324"/>
    </row>
    <row r="325" spans="1:22">
      <c r="A325" s="285"/>
      <c r="B325" s="286" t="s">
        <v>600</v>
      </c>
      <c r="C325" s="287">
        <v>4.8346158494822932E-5</v>
      </c>
      <c r="D325" s="288">
        <v>0</v>
      </c>
      <c r="E325" s="288">
        <v>0</v>
      </c>
      <c r="F325" s="288">
        <v>5.6382145653876272E-3</v>
      </c>
      <c r="G325" s="288">
        <v>0</v>
      </c>
      <c r="H325" s="288">
        <v>0</v>
      </c>
      <c r="I325" s="288">
        <v>0</v>
      </c>
      <c r="J325" s="289">
        <v>8.7168724489896082E-4</v>
      </c>
      <c r="K325" s="287">
        <v>0</v>
      </c>
      <c r="L325" s="288">
        <v>0</v>
      </c>
      <c r="M325" s="288">
        <v>0</v>
      </c>
      <c r="N325" s="288">
        <v>0</v>
      </c>
      <c r="O325" s="287">
        <v>0</v>
      </c>
      <c r="P325" s="287">
        <v>0</v>
      </c>
      <c r="Q325" s="288">
        <v>0</v>
      </c>
      <c r="R325" s="290">
        <v>0</v>
      </c>
      <c r="S325"/>
      <c r="T325"/>
      <c r="U325"/>
      <c r="V325"/>
    </row>
    <row r="326" spans="1:22">
      <c r="A326" s="285"/>
      <c r="B326" s="595" t="s">
        <v>601</v>
      </c>
      <c r="C326" s="596">
        <v>-1.2406621907186373E-2</v>
      </c>
      <c r="D326" s="597">
        <v>0</v>
      </c>
      <c r="E326" s="597">
        <v>0</v>
      </c>
      <c r="F326" s="597">
        <v>-0.29474304962403924</v>
      </c>
      <c r="G326" s="597">
        <v>0</v>
      </c>
      <c r="H326" s="597">
        <v>0</v>
      </c>
      <c r="I326" s="597">
        <v>0</v>
      </c>
      <c r="J326" s="598">
        <v>-3.1270865085757736E-2</v>
      </c>
      <c r="K326" s="596">
        <v>0</v>
      </c>
      <c r="L326" s="597">
        <v>0</v>
      </c>
      <c r="M326" s="597">
        <v>0</v>
      </c>
      <c r="N326" s="597">
        <v>0</v>
      </c>
      <c r="O326" s="596">
        <v>0</v>
      </c>
      <c r="P326" s="599">
        <v>0</v>
      </c>
      <c r="Q326" s="597">
        <v>0</v>
      </c>
      <c r="R326" s="600">
        <v>0</v>
      </c>
      <c r="S326"/>
      <c r="T326"/>
      <c r="U326"/>
      <c r="V326"/>
    </row>
    <row r="327" spans="1:22">
      <c r="A327" s="285"/>
      <c r="B327" s="264" t="s">
        <v>602</v>
      </c>
      <c r="C327" s="281">
        <v>4.9260679304767615E-5</v>
      </c>
      <c r="D327" s="282">
        <v>0</v>
      </c>
      <c r="E327" s="282">
        <v>0</v>
      </c>
      <c r="F327" s="282">
        <v>0</v>
      </c>
      <c r="G327" s="282">
        <v>0</v>
      </c>
      <c r="H327" s="282">
        <v>0</v>
      </c>
      <c r="I327" s="282">
        <v>0</v>
      </c>
      <c r="J327" s="283">
        <v>2.4934650436979747E-5</v>
      </c>
      <c r="K327" s="281">
        <v>0</v>
      </c>
      <c r="L327" s="282">
        <v>0</v>
      </c>
      <c r="M327" s="282">
        <v>0</v>
      </c>
      <c r="N327" s="282">
        <v>0</v>
      </c>
      <c r="O327" s="281">
        <v>0</v>
      </c>
      <c r="P327" s="281">
        <v>0</v>
      </c>
      <c r="Q327" s="282">
        <v>0</v>
      </c>
      <c r="R327" s="284">
        <v>0</v>
      </c>
      <c r="S327"/>
      <c r="T327"/>
      <c r="U327"/>
      <c r="V327"/>
    </row>
    <row r="328" spans="1:22">
      <c r="A328" s="285"/>
      <c r="B328" s="286" t="s">
        <v>603</v>
      </c>
      <c r="C328" s="287">
        <v>0</v>
      </c>
      <c r="D328" s="288">
        <v>3.4183164791340263E-5</v>
      </c>
      <c r="E328" s="288">
        <v>0</v>
      </c>
      <c r="F328" s="288">
        <v>0</v>
      </c>
      <c r="G328" s="288">
        <v>0</v>
      </c>
      <c r="H328" s="288">
        <v>0</v>
      </c>
      <c r="I328" s="288">
        <v>0</v>
      </c>
      <c r="J328" s="289">
        <v>1.177955736349947E-5</v>
      </c>
      <c r="K328" s="287">
        <v>0</v>
      </c>
      <c r="L328" s="288">
        <v>0</v>
      </c>
      <c r="M328" s="288">
        <v>0</v>
      </c>
      <c r="N328" s="288">
        <v>0</v>
      </c>
      <c r="O328" s="287">
        <v>0</v>
      </c>
      <c r="P328" s="287">
        <v>0</v>
      </c>
      <c r="Q328" s="288">
        <v>0</v>
      </c>
      <c r="R328" s="290">
        <v>0</v>
      </c>
      <c r="S328"/>
      <c r="T328"/>
      <c r="U328"/>
      <c r="V328"/>
    </row>
    <row r="329" spans="1:22">
      <c r="A329" s="292"/>
      <c r="B329" s="595" t="s">
        <v>604</v>
      </c>
      <c r="C329" s="596">
        <v>-4.9260679304767617E-3</v>
      </c>
      <c r="D329" s="597">
        <v>0</v>
      </c>
      <c r="E329" s="597">
        <v>0</v>
      </c>
      <c r="F329" s="597">
        <v>0</v>
      </c>
      <c r="G329" s="597">
        <v>0</v>
      </c>
      <c r="H329" s="597">
        <v>0</v>
      </c>
      <c r="I329" s="597">
        <v>0</v>
      </c>
      <c r="J329" s="598">
        <v>-1.3155093073480277E-3</v>
      </c>
      <c r="K329" s="596">
        <v>0</v>
      </c>
      <c r="L329" s="597">
        <v>0</v>
      </c>
      <c r="M329" s="597">
        <v>0</v>
      </c>
      <c r="N329" s="597">
        <v>0</v>
      </c>
      <c r="O329" s="596">
        <v>0</v>
      </c>
      <c r="P329" s="599">
        <v>0</v>
      </c>
      <c r="Q329" s="597">
        <v>0</v>
      </c>
      <c r="R329" s="600">
        <v>0</v>
      </c>
      <c r="S329"/>
      <c r="T329"/>
      <c r="U329"/>
      <c r="V329"/>
    </row>
    <row r="330" spans="1:22">
      <c r="A330" s="280" t="s">
        <v>251</v>
      </c>
      <c r="B330" s="264" t="s">
        <v>569</v>
      </c>
      <c r="C330" s="281">
        <v>0.93601678045087267</v>
      </c>
      <c r="D330" s="282">
        <v>0.90621905950486681</v>
      </c>
      <c r="E330" s="282">
        <v>0.90832709520339616</v>
      </c>
      <c r="F330" s="282">
        <v>0.84905295460113206</v>
      </c>
      <c r="G330" s="282">
        <v>0.82289587839533462</v>
      </c>
      <c r="H330" s="282">
        <v>0.9214487178826114</v>
      </c>
      <c r="I330" s="282">
        <v>0</v>
      </c>
      <c r="J330" s="283">
        <v>0.90765118823283619</v>
      </c>
      <c r="K330" s="281">
        <v>0</v>
      </c>
      <c r="L330" s="282">
        <v>0.76599070541695868</v>
      </c>
      <c r="M330" s="282">
        <v>0.72000677325999052</v>
      </c>
      <c r="N330" s="282">
        <v>0.70346212656632612</v>
      </c>
      <c r="O330" s="281">
        <v>0.73737923596030863</v>
      </c>
      <c r="P330" s="281">
        <v>0</v>
      </c>
      <c r="Q330" s="282">
        <v>0</v>
      </c>
      <c r="R330" s="284">
        <v>0</v>
      </c>
      <c r="S330"/>
      <c r="T330"/>
      <c r="U330"/>
      <c r="V330"/>
    </row>
    <row r="331" spans="1:22">
      <c r="A331" s="285"/>
      <c r="B331" s="286" t="s">
        <v>570</v>
      </c>
      <c r="C331" s="287">
        <v>0.92782887298620265</v>
      </c>
      <c r="D331" s="288">
        <v>0.91228446422595677</v>
      </c>
      <c r="E331" s="288">
        <v>0.90445878691740433</v>
      </c>
      <c r="F331" s="288">
        <v>0.8247450441555213</v>
      </c>
      <c r="G331" s="288">
        <v>0.79174152977412726</v>
      </c>
      <c r="H331" s="288">
        <v>0.91018981216298955</v>
      </c>
      <c r="I331" s="288">
        <v>0</v>
      </c>
      <c r="J331" s="289">
        <v>0.9019117361234591</v>
      </c>
      <c r="K331" s="287">
        <v>0</v>
      </c>
      <c r="L331" s="288">
        <v>0.75698836358120758</v>
      </c>
      <c r="M331" s="288">
        <v>0.71772880231468739</v>
      </c>
      <c r="N331" s="288">
        <v>0.70231460039536853</v>
      </c>
      <c r="O331" s="287">
        <v>0.73273045001349324</v>
      </c>
      <c r="P331" s="287">
        <v>0</v>
      </c>
      <c r="Q331" s="288">
        <v>0</v>
      </c>
      <c r="R331" s="290">
        <v>0</v>
      </c>
      <c r="S331"/>
      <c r="T331"/>
      <c r="U331"/>
      <c r="V331"/>
    </row>
    <row r="332" spans="1:22">
      <c r="A332" s="285"/>
      <c r="B332" s="595" t="s">
        <v>571</v>
      </c>
      <c r="C332" s="596">
        <v>-0.8187907464670019</v>
      </c>
      <c r="D332" s="597">
        <v>0.6065404721089962</v>
      </c>
      <c r="E332" s="597">
        <v>-0.38683082859918283</v>
      </c>
      <c r="F332" s="597">
        <v>-2.4307910445610759</v>
      </c>
      <c r="G332" s="597">
        <v>-3.1154348621207362</v>
      </c>
      <c r="H332" s="597">
        <v>-1.1258905719621848</v>
      </c>
      <c r="I332" s="597">
        <v>0</v>
      </c>
      <c r="J332" s="598">
        <v>-0.57394521093770967</v>
      </c>
      <c r="K332" s="596">
        <v>0</v>
      </c>
      <c r="L332" s="597">
        <v>-0.90023418357511042</v>
      </c>
      <c r="M332" s="597">
        <v>-0.22779709453031316</v>
      </c>
      <c r="N332" s="597">
        <v>-0.11475261709575912</v>
      </c>
      <c r="O332" s="596">
        <v>-0.46487859468153925</v>
      </c>
      <c r="P332" s="599">
        <v>0</v>
      </c>
      <c r="Q332" s="597">
        <v>0</v>
      </c>
      <c r="R332" s="600">
        <v>0</v>
      </c>
      <c r="S332"/>
      <c r="T332"/>
      <c r="U332"/>
      <c r="V332"/>
    </row>
    <row r="333" spans="1:22">
      <c r="A333" s="285"/>
      <c r="B333" s="264" t="s">
        <v>572</v>
      </c>
      <c r="C333" s="281">
        <v>3.4681882856658006E-3</v>
      </c>
      <c r="D333" s="282">
        <v>8.9737427434713891E-4</v>
      </c>
      <c r="E333" s="282">
        <v>1.6130933580703163E-2</v>
      </c>
      <c r="F333" s="282">
        <v>4.1369573346055157E-2</v>
      </c>
      <c r="G333" s="282">
        <v>5.3907099580549948E-2</v>
      </c>
      <c r="H333" s="282">
        <v>1.0328096237437931E-2</v>
      </c>
      <c r="I333" s="282">
        <v>0</v>
      </c>
      <c r="J333" s="283">
        <v>1.3170957121523837E-2</v>
      </c>
      <c r="K333" s="281">
        <v>0</v>
      </c>
      <c r="L333" s="282">
        <v>3.4411645849321722E-2</v>
      </c>
      <c r="M333" s="282">
        <v>6.1738264813940603E-2</v>
      </c>
      <c r="N333" s="282">
        <v>7.0270428079463113E-2</v>
      </c>
      <c r="O333" s="281">
        <v>5.1197642878287132E-2</v>
      </c>
      <c r="P333" s="281">
        <v>0</v>
      </c>
      <c r="Q333" s="282">
        <v>0</v>
      </c>
      <c r="R333" s="284">
        <v>0</v>
      </c>
      <c r="S333"/>
      <c r="T333"/>
      <c r="U333"/>
      <c r="V333"/>
    </row>
    <row r="334" spans="1:22">
      <c r="A334" s="285"/>
      <c r="B334" s="286" t="s">
        <v>573</v>
      </c>
      <c r="C334" s="287">
        <v>2.5859862707048979E-3</v>
      </c>
      <c r="D334" s="288">
        <v>9.2933047799911113E-4</v>
      </c>
      <c r="E334" s="288">
        <v>1.5672474964581087E-2</v>
      </c>
      <c r="F334" s="288">
        <v>2.2854538800930753E-2</v>
      </c>
      <c r="G334" s="288">
        <v>5.706318835168938E-2</v>
      </c>
      <c r="H334" s="288">
        <v>1.5514823520116929E-2</v>
      </c>
      <c r="I334" s="288">
        <v>0</v>
      </c>
      <c r="J334" s="289">
        <v>1.2606789780473573E-2</v>
      </c>
      <c r="K334" s="287">
        <v>0</v>
      </c>
      <c r="L334" s="288">
        <v>3.0396393336674668E-2</v>
      </c>
      <c r="M334" s="288">
        <v>4.8210280211358994E-2</v>
      </c>
      <c r="N334" s="288">
        <v>5.1826037842417398E-2</v>
      </c>
      <c r="O334" s="287">
        <v>4.0853546892245747E-2</v>
      </c>
      <c r="P334" s="287">
        <v>0</v>
      </c>
      <c r="Q334" s="288">
        <v>0</v>
      </c>
      <c r="R334" s="290">
        <v>0</v>
      </c>
      <c r="S334"/>
      <c r="T334"/>
      <c r="U334"/>
      <c r="V334"/>
    </row>
    <row r="335" spans="1:22">
      <c r="A335" s="285"/>
      <c r="B335" s="595" t="s">
        <v>574</v>
      </c>
      <c r="C335" s="596">
        <v>-8.8220201496090264E-2</v>
      </c>
      <c r="D335" s="597">
        <v>3.1956203651972216E-3</v>
      </c>
      <c r="E335" s="597">
        <v>-4.5845861612207536E-2</v>
      </c>
      <c r="F335" s="597">
        <v>-1.8515034545124402</v>
      </c>
      <c r="G335" s="597">
        <v>0.31560887711394314</v>
      </c>
      <c r="H335" s="597">
        <v>0.5186727282678999</v>
      </c>
      <c r="I335" s="597">
        <v>0</v>
      </c>
      <c r="J335" s="598">
        <v>-5.6416734105026352E-2</v>
      </c>
      <c r="K335" s="596">
        <v>0</v>
      </c>
      <c r="L335" s="597">
        <v>-0.4015252512647054</v>
      </c>
      <c r="M335" s="597">
        <v>-1.3527984602581609</v>
      </c>
      <c r="N335" s="597">
        <v>-1.8444390237045714</v>
      </c>
      <c r="O335" s="596">
        <v>-1.0344095986041384</v>
      </c>
      <c r="P335" s="599">
        <v>0</v>
      </c>
      <c r="Q335" s="597">
        <v>0</v>
      </c>
      <c r="R335" s="600">
        <v>0</v>
      </c>
      <c r="S335"/>
      <c r="T335"/>
      <c r="U335"/>
      <c r="V335"/>
    </row>
    <row r="336" spans="1:22">
      <c r="A336" s="285"/>
      <c r="B336" s="264" t="s">
        <v>575</v>
      </c>
      <c r="C336" s="281">
        <v>5.2851730259636846E-2</v>
      </c>
      <c r="D336" s="282">
        <v>9.274395098332823E-2</v>
      </c>
      <c r="E336" s="282">
        <v>7.5479299770950789E-2</v>
      </c>
      <c r="F336" s="282">
        <v>0.10957747205281276</v>
      </c>
      <c r="G336" s="282">
        <v>0.12234557426416988</v>
      </c>
      <c r="H336" s="282">
        <v>6.7408488323527749E-2</v>
      </c>
      <c r="I336" s="282">
        <v>0</v>
      </c>
      <c r="J336" s="283">
        <v>7.7100364018842113E-2</v>
      </c>
      <c r="K336" s="281">
        <v>0</v>
      </c>
      <c r="L336" s="282">
        <v>0.1942301845940525</v>
      </c>
      <c r="M336" s="282">
        <v>0.20798064489645121</v>
      </c>
      <c r="N336" s="282">
        <v>0.20314159308182911</v>
      </c>
      <c r="O336" s="281">
        <v>0.2011535239452491</v>
      </c>
      <c r="P336" s="281">
        <v>0</v>
      </c>
      <c r="Q336" s="282">
        <v>0</v>
      </c>
      <c r="R336" s="284">
        <v>0</v>
      </c>
      <c r="S336"/>
      <c r="T336"/>
      <c r="U336"/>
      <c r="V336"/>
    </row>
    <row r="337" spans="1:22">
      <c r="A337" s="285"/>
      <c r="B337" s="286" t="s">
        <v>576</v>
      </c>
      <c r="C337" s="287">
        <v>6.9223118863040722E-2</v>
      </c>
      <c r="D337" s="288">
        <v>8.6711610207509032E-2</v>
      </c>
      <c r="E337" s="288">
        <v>7.9749585265732656E-2</v>
      </c>
      <c r="F337" s="288">
        <v>0.15136471286827916</v>
      </c>
      <c r="G337" s="288">
        <v>0.14915356076162031</v>
      </c>
      <c r="H337" s="288">
        <v>7.4295364316893486E-2</v>
      </c>
      <c r="I337" s="288">
        <v>0</v>
      </c>
      <c r="J337" s="289">
        <v>8.515552168431216E-2</v>
      </c>
      <c r="K337" s="287">
        <v>0</v>
      </c>
      <c r="L337" s="288">
        <v>0.20796018095966656</v>
      </c>
      <c r="M337" s="288">
        <v>0.22494810465709605</v>
      </c>
      <c r="N337" s="288">
        <v>0.22341372493645864</v>
      </c>
      <c r="O337" s="287">
        <v>0.21712163872297024</v>
      </c>
      <c r="P337" s="287">
        <v>0</v>
      </c>
      <c r="Q337" s="288">
        <v>0</v>
      </c>
      <c r="R337" s="290">
        <v>0</v>
      </c>
      <c r="S337"/>
      <c r="T337"/>
      <c r="U337"/>
      <c r="V337"/>
    </row>
    <row r="338" spans="1:22">
      <c r="A338" s="285"/>
      <c r="B338" s="595" t="s">
        <v>577</v>
      </c>
      <c r="C338" s="596">
        <v>1.6371388603403876</v>
      </c>
      <c r="D338" s="597">
        <v>-0.60323407758191983</v>
      </c>
      <c r="E338" s="597">
        <v>0.42702854947818669</v>
      </c>
      <c r="F338" s="597">
        <v>4.1787240815466395</v>
      </c>
      <c r="G338" s="597">
        <v>2.6807986497450433</v>
      </c>
      <c r="H338" s="597">
        <v>0.68868759933657375</v>
      </c>
      <c r="I338" s="597">
        <v>0</v>
      </c>
      <c r="J338" s="598">
        <v>0.80551576654700474</v>
      </c>
      <c r="K338" s="596">
        <v>0</v>
      </c>
      <c r="L338" s="597">
        <v>1.3729996365614061</v>
      </c>
      <c r="M338" s="597">
        <v>1.6967459760644843</v>
      </c>
      <c r="N338" s="597">
        <v>2.0272131854629531</v>
      </c>
      <c r="O338" s="596">
        <v>1.5968114777721143</v>
      </c>
      <c r="P338" s="599">
        <v>0</v>
      </c>
      <c r="Q338" s="597">
        <v>0</v>
      </c>
      <c r="R338" s="600">
        <v>0</v>
      </c>
      <c r="S338"/>
      <c r="T338"/>
      <c r="U338"/>
      <c r="V338"/>
    </row>
    <row r="339" spans="1:22">
      <c r="A339" s="285"/>
      <c r="B339" s="264" t="s">
        <v>578</v>
      </c>
      <c r="C339" s="281">
        <v>1.3869489733314188E-5</v>
      </c>
      <c r="D339" s="282">
        <v>1.3961523745780903E-4</v>
      </c>
      <c r="E339" s="282">
        <v>6.2671444949850412E-5</v>
      </c>
      <c r="F339" s="282">
        <v>0</v>
      </c>
      <c r="G339" s="282">
        <v>8.5144775994550732E-4</v>
      </c>
      <c r="H339" s="282">
        <v>8.1469755642296215E-4</v>
      </c>
      <c r="I339" s="282">
        <v>0</v>
      </c>
      <c r="J339" s="283">
        <v>1.4758355091786882E-4</v>
      </c>
      <c r="K339" s="281">
        <v>0</v>
      </c>
      <c r="L339" s="282">
        <v>2.0706121374575032E-3</v>
      </c>
      <c r="M339" s="282">
        <v>7.84261406785575E-3</v>
      </c>
      <c r="N339" s="282">
        <v>1.3372389355125556E-2</v>
      </c>
      <c r="O339" s="281">
        <v>6.2379241032616359E-3</v>
      </c>
      <c r="P339" s="281">
        <v>0</v>
      </c>
      <c r="Q339" s="282">
        <v>0</v>
      </c>
      <c r="R339" s="284">
        <v>0</v>
      </c>
      <c r="S339"/>
      <c r="T339"/>
      <c r="U339"/>
      <c r="V339"/>
    </row>
    <row r="340" spans="1:22">
      <c r="A340" s="285"/>
      <c r="B340" s="286" t="s">
        <v>579</v>
      </c>
      <c r="C340" s="287">
        <v>0</v>
      </c>
      <c r="D340" s="288">
        <v>7.4595088535045709E-5</v>
      </c>
      <c r="E340" s="288">
        <v>1.1915285228194665E-4</v>
      </c>
      <c r="F340" s="288">
        <v>1.0357041752687651E-3</v>
      </c>
      <c r="G340" s="288">
        <v>2.0417211125630017E-3</v>
      </c>
      <c r="H340" s="288">
        <v>0</v>
      </c>
      <c r="I340" s="288">
        <v>0</v>
      </c>
      <c r="J340" s="289">
        <v>2.3573524268115739E-4</v>
      </c>
      <c r="K340" s="287">
        <v>0</v>
      </c>
      <c r="L340" s="288">
        <v>1.9112380964942362E-3</v>
      </c>
      <c r="M340" s="288">
        <v>7.5500793582925895E-3</v>
      </c>
      <c r="N340" s="288">
        <v>1.3493363456650663E-2</v>
      </c>
      <c r="O340" s="287">
        <v>6.0023001065490538E-3</v>
      </c>
      <c r="P340" s="287">
        <v>0</v>
      </c>
      <c r="Q340" s="288">
        <v>0</v>
      </c>
      <c r="R340" s="290">
        <v>0</v>
      </c>
      <c r="S340"/>
      <c r="T340"/>
      <c r="U340"/>
      <c r="V340"/>
    </row>
    <row r="341" spans="1:22">
      <c r="A341" s="285"/>
      <c r="B341" s="595" t="s">
        <v>580</v>
      </c>
      <c r="C341" s="596">
        <v>-1.3869489733314188E-3</v>
      </c>
      <c r="D341" s="597">
        <v>-6.5020148922763322E-3</v>
      </c>
      <c r="E341" s="597">
        <v>5.6481407332096235E-3</v>
      </c>
      <c r="F341" s="597">
        <v>0</v>
      </c>
      <c r="G341" s="597">
        <v>0.11902733526174944</v>
      </c>
      <c r="H341" s="597">
        <v>-8.1469755642296221E-2</v>
      </c>
      <c r="I341" s="597">
        <v>0</v>
      </c>
      <c r="J341" s="598">
        <v>8.8151691763288572E-3</v>
      </c>
      <c r="K341" s="596">
        <v>0</v>
      </c>
      <c r="L341" s="597">
        <v>-1.5937404096326695E-2</v>
      </c>
      <c r="M341" s="597">
        <v>-2.9253470956316051E-2</v>
      </c>
      <c r="N341" s="597">
        <v>1.2097410152510715E-2</v>
      </c>
      <c r="O341" s="596">
        <v>-2.3562399671258217E-2</v>
      </c>
      <c r="P341" s="599">
        <v>0</v>
      </c>
      <c r="Q341" s="597">
        <v>0</v>
      </c>
      <c r="R341" s="600">
        <v>0</v>
      </c>
      <c r="S341"/>
      <c r="T341"/>
      <c r="U341"/>
      <c r="V341"/>
    </row>
    <row r="342" spans="1:22">
      <c r="A342" s="285"/>
      <c r="B342" s="264" t="s">
        <v>581</v>
      </c>
      <c r="C342" s="281">
        <v>7.6494315140914013E-3</v>
      </c>
      <c r="D342" s="282">
        <v>0</v>
      </c>
      <c r="E342" s="282">
        <v>0</v>
      </c>
      <c r="F342" s="282">
        <v>0</v>
      </c>
      <c r="G342" s="282">
        <v>0</v>
      </c>
      <c r="H342" s="282">
        <v>0</v>
      </c>
      <c r="I342" s="282">
        <v>0</v>
      </c>
      <c r="J342" s="283">
        <v>1.9299070758799694E-3</v>
      </c>
      <c r="K342" s="281">
        <v>0</v>
      </c>
      <c r="L342" s="282">
        <v>3.2968520022096416E-3</v>
      </c>
      <c r="M342" s="282">
        <v>2.4317029617618685E-3</v>
      </c>
      <c r="N342" s="282">
        <v>9.7534629172561366E-3</v>
      </c>
      <c r="O342" s="281">
        <v>4.031673112893543E-3</v>
      </c>
      <c r="P342" s="281">
        <v>0</v>
      </c>
      <c r="Q342" s="282">
        <v>0</v>
      </c>
      <c r="R342" s="284">
        <v>0</v>
      </c>
      <c r="S342"/>
      <c r="T342"/>
      <c r="U342"/>
      <c r="V342"/>
    </row>
    <row r="343" spans="1:22">
      <c r="A343" s="285"/>
      <c r="B343" s="286" t="s">
        <v>582</v>
      </c>
      <c r="C343" s="287">
        <v>3.6202188005170352E-4</v>
      </c>
      <c r="D343" s="288">
        <v>0</v>
      </c>
      <c r="E343" s="288">
        <v>0</v>
      </c>
      <c r="F343" s="288">
        <v>0</v>
      </c>
      <c r="G343" s="288">
        <v>0</v>
      </c>
      <c r="H343" s="288">
        <v>0</v>
      </c>
      <c r="I343" s="288">
        <v>0</v>
      </c>
      <c r="J343" s="289">
        <v>9.0217169074038834E-5</v>
      </c>
      <c r="K343" s="287">
        <v>0</v>
      </c>
      <c r="L343" s="288">
        <v>2.743824025956897E-3</v>
      </c>
      <c r="M343" s="288">
        <v>1.5627334585650104E-3</v>
      </c>
      <c r="N343" s="288">
        <v>8.952273369104773E-3</v>
      </c>
      <c r="O343" s="287">
        <v>3.2920642647416756E-3</v>
      </c>
      <c r="P343" s="287">
        <v>0</v>
      </c>
      <c r="Q343" s="288">
        <v>0</v>
      </c>
      <c r="R343" s="290">
        <v>0</v>
      </c>
      <c r="S343"/>
      <c r="T343"/>
      <c r="U343"/>
      <c r="V343"/>
    </row>
    <row r="344" spans="1:22">
      <c r="A344" s="285"/>
      <c r="B344" s="595" t="s">
        <v>583</v>
      </c>
      <c r="C344" s="596">
        <v>-0.72874096340396977</v>
      </c>
      <c r="D344" s="597">
        <v>0</v>
      </c>
      <c r="E344" s="597">
        <v>0</v>
      </c>
      <c r="F344" s="597">
        <v>0</v>
      </c>
      <c r="G344" s="597">
        <v>0</v>
      </c>
      <c r="H344" s="597">
        <v>0</v>
      </c>
      <c r="I344" s="597">
        <v>0</v>
      </c>
      <c r="J344" s="598">
        <v>-0.18396899068059305</v>
      </c>
      <c r="K344" s="596">
        <v>0</v>
      </c>
      <c r="L344" s="597">
        <v>-5.5302797625274465E-2</v>
      </c>
      <c r="M344" s="597">
        <v>-8.6896950319685806E-2</v>
      </c>
      <c r="N344" s="597">
        <v>-8.0118954815136367E-2</v>
      </c>
      <c r="O344" s="596">
        <v>-7.3960884815186742E-2</v>
      </c>
      <c r="P344" s="599">
        <v>0</v>
      </c>
      <c r="Q344" s="597">
        <v>0</v>
      </c>
      <c r="R344" s="600">
        <v>0</v>
      </c>
      <c r="S344"/>
      <c r="T344"/>
      <c r="U344"/>
      <c r="V344"/>
    </row>
    <row r="345" spans="1:22">
      <c r="A345" s="285"/>
      <c r="B345" s="264" t="s">
        <v>584</v>
      </c>
      <c r="C345" s="281">
        <v>0</v>
      </c>
      <c r="D345" s="282">
        <v>0</v>
      </c>
      <c r="E345" s="282">
        <v>0</v>
      </c>
      <c r="F345" s="282">
        <v>0</v>
      </c>
      <c r="G345" s="282">
        <v>0</v>
      </c>
      <c r="H345" s="282">
        <v>0</v>
      </c>
      <c r="I345" s="282">
        <v>0</v>
      </c>
      <c r="J345" s="283">
        <v>0</v>
      </c>
      <c r="K345" s="281">
        <v>0</v>
      </c>
      <c r="L345" s="282">
        <v>0</v>
      </c>
      <c r="M345" s="282">
        <v>0</v>
      </c>
      <c r="N345" s="282">
        <v>0</v>
      </c>
      <c r="O345" s="281">
        <v>0</v>
      </c>
      <c r="P345" s="281">
        <v>0</v>
      </c>
      <c r="Q345" s="282">
        <v>0</v>
      </c>
      <c r="R345" s="284">
        <v>0</v>
      </c>
      <c r="S345"/>
      <c r="T345"/>
      <c r="U345"/>
      <c r="V345"/>
    </row>
    <row r="346" spans="1:22">
      <c r="A346" s="285"/>
      <c r="B346" s="286" t="s">
        <v>585</v>
      </c>
      <c r="C346" s="287">
        <v>0</v>
      </c>
      <c r="D346" s="288">
        <v>0</v>
      </c>
      <c r="E346" s="288">
        <v>0</v>
      </c>
      <c r="F346" s="288">
        <v>0</v>
      </c>
      <c r="G346" s="288">
        <v>0</v>
      </c>
      <c r="H346" s="288">
        <v>0</v>
      </c>
      <c r="I346" s="288">
        <v>0</v>
      </c>
      <c r="J346" s="289">
        <v>0</v>
      </c>
      <c r="K346" s="287">
        <v>0</v>
      </c>
      <c r="L346" s="288">
        <v>0</v>
      </c>
      <c r="M346" s="288">
        <v>0</v>
      </c>
      <c r="N346" s="288">
        <v>0</v>
      </c>
      <c r="O346" s="287">
        <v>0</v>
      </c>
      <c r="P346" s="287">
        <v>0</v>
      </c>
      <c r="Q346" s="288">
        <v>0</v>
      </c>
      <c r="R346" s="290">
        <v>0</v>
      </c>
      <c r="S346"/>
      <c r="T346"/>
      <c r="U346"/>
      <c r="V346"/>
    </row>
    <row r="347" spans="1:22">
      <c r="A347" s="285"/>
      <c r="B347" s="595" t="s">
        <v>586</v>
      </c>
      <c r="C347" s="596">
        <v>0</v>
      </c>
      <c r="D347" s="597">
        <v>0</v>
      </c>
      <c r="E347" s="597">
        <v>0</v>
      </c>
      <c r="F347" s="597">
        <v>0</v>
      </c>
      <c r="G347" s="597">
        <v>0</v>
      </c>
      <c r="H347" s="597">
        <v>0</v>
      </c>
      <c r="I347" s="597">
        <v>0</v>
      </c>
      <c r="J347" s="598">
        <v>0</v>
      </c>
      <c r="K347" s="596">
        <v>0</v>
      </c>
      <c r="L347" s="597">
        <v>0</v>
      </c>
      <c r="M347" s="597">
        <v>0</v>
      </c>
      <c r="N347" s="597">
        <v>0</v>
      </c>
      <c r="O347" s="596">
        <v>0</v>
      </c>
      <c r="P347" s="599">
        <v>0</v>
      </c>
      <c r="Q347" s="597">
        <v>0</v>
      </c>
      <c r="R347" s="600">
        <v>0</v>
      </c>
      <c r="S347"/>
      <c r="T347"/>
      <c r="U347"/>
      <c r="V347"/>
    </row>
    <row r="348" spans="1:22">
      <c r="A348" s="285"/>
      <c r="B348" s="264" t="s">
        <v>587</v>
      </c>
      <c r="C348" s="281">
        <v>0.84358926355937314</v>
      </c>
      <c r="D348" s="282">
        <v>0.80730677178656907</v>
      </c>
      <c r="E348" s="282">
        <v>0.61905335508857229</v>
      </c>
      <c r="F348" s="282">
        <v>0.69556095406360419</v>
      </c>
      <c r="G348" s="282">
        <v>0.64433258939170901</v>
      </c>
      <c r="H348" s="282">
        <v>0.7847730600292826</v>
      </c>
      <c r="I348" s="282">
        <v>0</v>
      </c>
      <c r="J348" s="283">
        <v>0.74880842956589466</v>
      </c>
      <c r="K348" s="281">
        <v>0</v>
      </c>
      <c r="L348" s="282">
        <v>0</v>
      </c>
      <c r="M348" s="282">
        <v>0</v>
      </c>
      <c r="N348" s="282">
        <v>0</v>
      </c>
      <c r="O348" s="281">
        <v>0</v>
      </c>
      <c r="P348" s="281">
        <v>0</v>
      </c>
      <c r="Q348" s="282">
        <v>0</v>
      </c>
      <c r="R348" s="284">
        <v>0</v>
      </c>
      <c r="S348"/>
      <c r="T348"/>
      <c r="U348"/>
      <c r="V348"/>
    </row>
    <row r="349" spans="1:22">
      <c r="A349" s="285"/>
      <c r="B349" s="286" t="s">
        <v>588</v>
      </c>
      <c r="C349" s="287">
        <v>0.83636806750849191</v>
      </c>
      <c r="D349" s="288">
        <v>0.80000687403333903</v>
      </c>
      <c r="E349" s="288">
        <v>0.62244499040582468</v>
      </c>
      <c r="F349" s="288">
        <v>0.57987540914370184</v>
      </c>
      <c r="G349" s="288">
        <v>0.6394679100383982</v>
      </c>
      <c r="H349" s="288">
        <v>0.67610269914417376</v>
      </c>
      <c r="I349" s="288">
        <v>0</v>
      </c>
      <c r="J349" s="289">
        <v>0.74480494925586727</v>
      </c>
      <c r="K349" s="287">
        <v>0</v>
      </c>
      <c r="L349" s="288">
        <v>0</v>
      </c>
      <c r="M349" s="288">
        <v>0</v>
      </c>
      <c r="N349" s="288">
        <v>0</v>
      </c>
      <c r="O349" s="287">
        <v>0</v>
      </c>
      <c r="P349" s="287">
        <v>0</v>
      </c>
      <c r="Q349" s="288">
        <v>0</v>
      </c>
      <c r="R349" s="290">
        <v>0</v>
      </c>
      <c r="S349"/>
      <c r="T349"/>
      <c r="U349"/>
      <c r="V349"/>
    </row>
    <row r="350" spans="1:22">
      <c r="A350" s="285"/>
      <c r="B350" s="595" t="s">
        <v>589</v>
      </c>
      <c r="C350" s="596">
        <v>-0.7221196050881229</v>
      </c>
      <c r="D350" s="597">
        <v>-0.72998977532300335</v>
      </c>
      <c r="E350" s="597">
        <v>0.3391635317252395</v>
      </c>
      <c r="F350" s="597">
        <v>-11.568554491990234</v>
      </c>
      <c r="G350" s="597">
        <v>-0.48646793533108079</v>
      </c>
      <c r="H350" s="597">
        <v>-10.867036088510885</v>
      </c>
      <c r="I350" s="597">
        <v>0</v>
      </c>
      <c r="J350" s="598">
        <v>-0.40034803100273963</v>
      </c>
      <c r="K350" s="596">
        <v>0</v>
      </c>
      <c r="L350" s="597">
        <v>0</v>
      </c>
      <c r="M350" s="597">
        <v>0</v>
      </c>
      <c r="N350" s="597">
        <v>0</v>
      </c>
      <c r="O350" s="596">
        <v>0</v>
      </c>
      <c r="P350" s="599">
        <v>0</v>
      </c>
      <c r="Q350" s="597">
        <v>0</v>
      </c>
      <c r="R350" s="600">
        <v>0</v>
      </c>
      <c r="S350"/>
      <c r="T350"/>
      <c r="U350"/>
      <c r="V350"/>
    </row>
    <row r="351" spans="1:22">
      <c r="A351" s="285"/>
      <c r="B351" s="264" t="s">
        <v>590</v>
      </c>
      <c r="C351" s="281">
        <v>6.6913955532427308E-2</v>
      </c>
      <c r="D351" s="282">
        <v>4.8275376601436014E-2</v>
      </c>
      <c r="E351" s="282">
        <v>9.1331851348934318E-2</v>
      </c>
      <c r="F351" s="282">
        <v>0.16928003533568906</v>
      </c>
      <c r="G351" s="282">
        <v>8.799088275796571E-2</v>
      </c>
      <c r="H351" s="282">
        <v>1.9765739385065886E-2</v>
      </c>
      <c r="I351" s="282">
        <v>0</v>
      </c>
      <c r="J351" s="283">
        <v>7.3926537633957429E-2</v>
      </c>
      <c r="K351" s="281">
        <v>0</v>
      </c>
      <c r="L351" s="282">
        <v>0</v>
      </c>
      <c r="M351" s="282">
        <v>0</v>
      </c>
      <c r="N351" s="282">
        <v>0</v>
      </c>
      <c r="O351" s="281">
        <v>0</v>
      </c>
      <c r="P351" s="281">
        <v>0</v>
      </c>
      <c r="Q351" s="282">
        <v>0</v>
      </c>
      <c r="R351" s="284">
        <v>0</v>
      </c>
      <c r="S351"/>
      <c r="T351"/>
      <c r="U351"/>
      <c r="V351"/>
    </row>
    <row r="352" spans="1:22">
      <c r="A352" s="285"/>
      <c r="B352" s="286" t="s">
        <v>591</v>
      </c>
      <c r="C352" s="287">
        <v>6.6180256203256613E-2</v>
      </c>
      <c r="D352" s="288">
        <v>4.1264822134387355E-2</v>
      </c>
      <c r="E352" s="288">
        <v>8.9302942811541705E-2</v>
      </c>
      <c r="F352" s="288">
        <v>0.1774891774891775</v>
      </c>
      <c r="G352" s="288">
        <v>6.1345767050649112E-2</v>
      </c>
      <c r="H352" s="288">
        <v>8.3607636603028307E-2</v>
      </c>
      <c r="I352" s="288">
        <v>0</v>
      </c>
      <c r="J352" s="289">
        <v>7.1015048172230838E-2</v>
      </c>
      <c r="K352" s="287">
        <v>0</v>
      </c>
      <c r="L352" s="288">
        <v>0</v>
      </c>
      <c r="M352" s="288">
        <v>0</v>
      </c>
      <c r="N352" s="288">
        <v>0</v>
      </c>
      <c r="O352" s="287">
        <v>0</v>
      </c>
      <c r="P352" s="287">
        <v>0</v>
      </c>
      <c r="Q352" s="288">
        <v>0</v>
      </c>
      <c r="R352" s="290">
        <v>0</v>
      </c>
      <c r="S352"/>
      <c r="T352"/>
      <c r="U352"/>
      <c r="V352"/>
    </row>
    <row r="353" spans="1:22">
      <c r="A353" s="285"/>
      <c r="B353" s="595" t="s">
        <v>592</v>
      </c>
      <c r="C353" s="596">
        <v>-7.3369932917069502E-2</v>
      </c>
      <c r="D353" s="597">
        <v>-0.70105544670486586</v>
      </c>
      <c r="E353" s="597">
        <v>-0.20289085373926125</v>
      </c>
      <c r="F353" s="597">
        <v>0.82091421534884468</v>
      </c>
      <c r="G353" s="597">
        <v>-2.6645115707316598</v>
      </c>
      <c r="H353" s="597">
        <v>6.3841897217962424</v>
      </c>
      <c r="I353" s="597">
        <v>0</v>
      </c>
      <c r="J353" s="598">
        <v>-0.29114894617265907</v>
      </c>
      <c r="K353" s="596">
        <v>0</v>
      </c>
      <c r="L353" s="597">
        <v>0</v>
      </c>
      <c r="M353" s="597">
        <v>0</v>
      </c>
      <c r="N353" s="597">
        <v>0</v>
      </c>
      <c r="O353" s="596">
        <v>0</v>
      </c>
      <c r="P353" s="599">
        <v>0</v>
      </c>
      <c r="Q353" s="597">
        <v>0</v>
      </c>
      <c r="R353" s="600">
        <v>0</v>
      </c>
      <c r="S353"/>
      <c r="T353"/>
      <c r="U353"/>
      <c r="V353"/>
    </row>
    <row r="354" spans="1:22">
      <c r="A354" s="285"/>
      <c r="B354" s="264" t="s">
        <v>593</v>
      </c>
      <c r="C354" s="281">
        <v>8.3429847914174474E-2</v>
      </c>
      <c r="D354" s="282">
        <v>0.14298183865972125</v>
      </c>
      <c r="E354" s="282">
        <v>0.2887277930478141</v>
      </c>
      <c r="F354" s="282">
        <v>0.1351590106007067</v>
      </c>
      <c r="G354" s="282">
        <v>0.25400066479889832</v>
      </c>
      <c r="H354" s="282">
        <v>0.19546120058565153</v>
      </c>
      <c r="I354" s="282">
        <v>0</v>
      </c>
      <c r="J354" s="283">
        <v>0.17379423561822019</v>
      </c>
      <c r="K354" s="281">
        <v>0</v>
      </c>
      <c r="L354" s="282">
        <v>0</v>
      </c>
      <c r="M354" s="282">
        <v>0</v>
      </c>
      <c r="N354" s="282">
        <v>0</v>
      </c>
      <c r="O354" s="281">
        <v>0</v>
      </c>
      <c r="P354" s="281">
        <v>0</v>
      </c>
      <c r="Q354" s="282">
        <v>0</v>
      </c>
      <c r="R354" s="284">
        <v>0</v>
      </c>
      <c r="S354"/>
      <c r="T354"/>
      <c r="U354"/>
      <c r="V354"/>
    </row>
    <row r="355" spans="1:22">
      <c r="A355" s="285"/>
      <c r="B355" s="286" t="s">
        <v>594</v>
      </c>
      <c r="C355" s="287">
        <v>9.4658116403405893E-2</v>
      </c>
      <c r="D355" s="288">
        <v>0.15637051039697542</v>
      </c>
      <c r="E355" s="288">
        <v>0.28640137725732118</v>
      </c>
      <c r="F355" s="288">
        <v>0.24263541336712069</v>
      </c>
      <c r="G355" s="288">
        <v>0.29287803986103494</v>
      </c>
      <c r="H355" s="288">
        <v>0.24028966425279788</v>
      </c>
      <c r="I355" s="288">
        <v>0</v>
      </c>
      <c r="J355" s="289">
        <v>0.18174306191280742</v>
      </c>
      <c r="K355" s="287">
        <v>0</v>
      </c>
      <c r="L355" s="288">
        <v>0</v>
      </c>
      <c r="M355" s="288">
        <v>0</v>
      </c>
      <c r="N355" s="288">
        <v>0</v>
      </c>
      <c r="O355" s="287">
        <v>0</v>
      </c>
      <c r="P355" s="287">
        <v>0</v>
      </c>
      <c r="Q355" s="288">
        <v>0</v>
      </c>
      <c r="R355" s="290">
        <v>0</v>
      </c>
      <c r="S355"/>
      <c r="T355"/>
      <c r="U355"/>
      <c r="V355"/>
    </row>
    <row r="356" spans="1:22">
      <c r="A356" s="285"/>
      <c r="B356" s="595" t="s">
        <v>595</v>
      </c>
      <c r="C356" s="596">
        <v>1.1228268489231419</v>
      </c>
      <c r="D356" s="597">
        <v>1.3388671737254165</v>
      </c>
      <c r="E356" s="597">
        <v>-0.23264157904929195</v>
      </c>
      <c r="F356" s="597">
        <v>10.747640276641398</v>
      </c>
      <c r="G356" s="597">
        <v>3.8877375062136621</v>
      </c>
      <c r="H356" s="597">
        <v>4.482846366714635</v>
      </c>
      <c r="I356" s="597">
        <v>0</v>
      </c>
      <c r="J356" s="598">
        <v>0.79488262945872357</v>
      </c>
      <c r="K356" s="596">
        <v>0</v>
      </c>
      <c r="L356" s="597">
        <v>0</v>
      </c>
      <c r="M356" s="597">
        <v>0</v>
      </c>
      <c r="N356" s="597">
        <v>0</v>
      </c>
      <c r="O356" s="596">
        <v>0</v>
      </c>
      <c r="P356" s="599">
        <v>0</v>
      </c>
      <c r="Q356" s="597">
        <v>0</v>
      </c>
      <c r="R356" s="600">
        <v>0</v>
      </c>
      <c r="S356"/>
      <c r="T356"/>
      <c r="U356"/>
      <c r="V356"/>
    </row>
    <row r="357" spans="1:22">
      <c r="A357" s="285"/>
      <c r="B357" s="264" t="s">
        <v>596</v>
      </c>
      <c r="C357" s="281">
        <v>5.2355854812454984E-3</v>
      </c>
      <c r="D357" s="282">
        <v>1.4360129522736872E-3</v>
      </c>
      <c r="E357" s="282">
        <v>8.8700051467931098E-4</v>
      </c>
      <c r="F357" s="282">
        <v>0</v>
      </c>
      <c r="G357" s="282">
        <v>1.3675863051426944E-2</v>
      </c>
      <c r="H357" s="282">
        <v>0</v>
      </c>
      <c r="I357" s="282">
        <v>0</v>
      </c>
      <c r="J357" s="283">
        <v>3.1272577555336726E-3</v>
      </c>
      <c r="K357" s="281">
        <v>0</v>
      </c>
      <c r="L357" s="282">
        <v>0</v>
      </c>
      <c r="M357" s="282">
        <v>0</v>
      </c>
      <c r="N357" s="282">
        <v>0</v>
      </c>
      <c r="O357" s="281">
        <v>0</v>
      </c>
      <c r="P357" s="281">
        <v>0</v>
      </c>
      <c r="Q357" s="282">
        <v>0</v>
      </c>
      <c r="R357" s="284">
        <v>0</v>
      </c>
      <c r="S357"/>
      <c r="T357"/>
      <c r="U357"/>
      <c r="V357"/>
    </row>
    <row r="358" spans="1:22">
      <c r="A358" s="285"/>
      <c r="B358" s="286" t="s">
        <v>597</v>
      </c>
      <c r="C358" s="287">
        <v>1.3312820825273034E-3</v>
      </c>
      <c r="D358" s="288">
        <v>2.3577934352981612E-3</v>
      </c>
      <c r="E358" s="288">
        <v>1.8506895253124832E-3</v>
      </c>
      <c r="F358" s="288">
        <v>0</v>
      </c>
      <c r="G358" s="288">
        <v>6.308283049917718E-3</v>
      </c>
      <c r="H358" s="288">
        <v>0</v>
      </c>
      <c r="I358" s="288">
        <v>0</v>
      </c>
      <c r="J358" s="289">
        <v>1.8257956662180693E-3</v>
      </c>
      <c r="K358" s="287">
        <v>0</v>
      </c>
      <c r="L358" s="288">
        <v>0</v>
      </c>
      <c r="M358" s="288">
        <v>0</v>
      </c>
      <c r="N358" s="288">
        <v>0</v>
      </c>
      <c r="O358" s="287">
        <v>0</v>
      </c>
      <c r="P358" s="287">
        <v>0</v>
      </c>
      <c r="Q358" s="288">
        <v>0</v>
      </c>
      <c r="R358" s="290">
        <v>0</v>
      </c>
      <c r="S358"/>
      <c r="T358"/>
      <c r="U358"/>
      <c r="V358"/>
    </row>
    <row r="359" spans="1:22">
      <c r="A359" s="285"/>
      <c r="B359" s="595" t="s">
        <v>598</v>
      </c>
      <c r="C359" s="596">
        <v>-0.39043033987181952</v>
      </c>
      <c r="D359" s="597">
        <v>9.2178048302447399E-2</v>
      </c>
      <c r="E359" s="597">
        <v>9.6368901063317219E-2</v>
      </c>
      <c r="F359" s="597">
        <v>0</v>
      </c>
      <c r="G359" s="597">
        <v>-0.73675800015092263</v>
      </c>
      <c r="H359" s="597">
        <v>0</v>
      </c>
      <c r="I359" s="597">
        <v>0</v>
      </c>
      <c r="J359" s="598">
        <v>-0.13014620893156031</v>
      </c>
      <c r="K359" s="596">
        <v>0</v>
      </c>
      <c r="L359" s="597">
        <v>0</v>
      </c>
      <c r="M359" s="597">
        <v>0</v>
      </c>
      <c r="N359" s="597">
        <v>0</v>
      </c>
      <c r="O359" s="596">
        <v>0</v>
      </c>
      <c r="P359" s="599">
        <v>0</v>
      </c>
      <c r="Q359" s="597">
        <v>0</v>
      </c>
      <c r="R359" s="600">
        <v>0</v>
      </c>
      <c r="S359"/>
      <c r="T359"/>
      <c r="U359"/>
      <c r="V359"/>
    </row>
    <row r="360" spans="1:22">
      <c r="A360" s="285"/>
      <c r="B360" s="264" t="s">
        <v>599</v>
      </c>
      <c r="C360" s="281">
        <v>8.3134751277958818E-4</v>
      </c>
      <c r="D360" s="282">
        <v>0</v>
      </c>
      <c r="E360" s="282">
        <v>0</v>
      </c>
      <c r="F360" s="282">
        <v>0</v>
      </c>
      <c r="G360" s="282">
        <v>0</v>
      </c>
      <c r="H360" s="282">
        <v>0</v>
      </c>
      <c r="I360" s="282">
        <v>0</v>
      </c>
      <c r="J360" s="283">
        <v>3.4353942639405545E-4</v>
      </c>
      <c r="K360" s="281">
        <v>0</v>
      </c>
      <c r="L360" s="282">
        <v>0</v>
      </c>
      <c r="M360" s="282">
        <v>0</v>
      </c>
      <c r="N360" s="282">
        <v>0</v>
      </c>
      <c r="O360" s="281">
        <v>0</v>
      </c>
      <c r="P360" s="281">
        <v>0</v>
      </c>
      <c r="Q360" s="282">
        <v>0</v>
      </c>
      <c r="R360" s="284">
        <v>0</v>
      </c>
      <c r="S360"/>
      <c r="T360"/>
      <c r="U360"/>
      <c r="V360"/>
    </row>
    <row r="361" spans="1:22">
      <c r="A361" s="285"/>
      <c r="B361" s="286" t="s">
        <v>600</v>
      </c>
      <c r="C361" s="287">
        <v>1.4622778023183195E-3</v>
      </c>
      <c r="D361" s="288">
        <v>0</v>
      </c>
      <c r="E361" s="288">
        <v>0</v>
      </c>
      <c r="F361" s="288">
        <v>0</v>
      </c>
      <c r="G361" s="288">
        <v>0</v>
      </c>
      <c r="H361" s="288">
        <v>0</v>
      </c>
      <c r="I361" s="288">
        <v>0</v>
      </c>
      <c r="J361" s="289">
        <v>6.1114499287634114E-4</v>
      </c>
      <c r="K361" s="287">
        <v>0</v>
      </c>
      <c r="L361" s="288">
        <v>0</v>
      </c>
      <c r="M361" s="288">
        <v>0</v>
      </c>
      <c r="N361" s="288">
        <v>0</v>
      </c>
      <c r="O361" s="287">
        <v>0</v>
      </c>
      <c r="P361" s="287">
        <v>0</v>
      </c>
      <c r="Q361" s="288">
        <v>0</v>
      </c>
      <c r="R361" s="290">
        <v>0</v>
      </c>
      <c r="S361"/>
      <c r="T361"/>
      <c r="U361"/>
      <c r="V361"/>
    </row>
    <row r="362" spans="1:22">
      <c r="A362" s="285"/>
      <c r="B362" s="595" t="s">
        <v>601</v>
      </c>
      <c r="C362" s="596">
        <v>6.3093028953873129E-2</v>
      </c>
      <c r="D362" s="597">
        <v>0</v>
      </c>
      <c r="E362" s="597">
        <v>0</v>
      </c>
      <c r="F362" s="597">
        <v>0</v>
      </c>
      <c r="G362" s="597">
        <v>0</v>
      </c>
      <c r="H362" s="597">
        <v>0</v>
      </c>
      <c r="I362" s="597">
        <v>0</v>
      </c>
      <c r="J362" s="598">
        <v>2.6760556648228569E-2</v>
      </c>
      <c r="K362" s="596">
        <v>0</v>
      </c>
      <c r="L362" s="597">
        <v>0</v>
      </c>
      <c r="M362" s="597">
        <v>0</v>
      </c>
      <c r="N362" s="597">
        <v>0</v>
      </c>
      <c r="O362" s="596">
        <v>0</v>
      </c>
      <c r="P362" s="599">
        <v>0</v>
      </c>
      <c r="Q362" s="597">
        <v>0</v>
      </c>
      <c r="R362" s="600">
        <v>0</v>
      </c>
      <c r="S362"/>
      <c r="T362"/>
      <c r="U362"/>
      <c r="V362"/>
    </row>
    <row r="363" spans="1:22">
      <c r="A363" s="285"/>
      <c r="B363" s="264" t="s">
        <v>602</v>
      </c>
      <c r="C363" s="281">
        <v>0</v>
      </c>
      <c r="D363" s="282">
        <v>0</v>
      </c>
      <c r="E363" s="282">
        <v>0</v>
      </c>
      <c r="F363" s="282">
        <v>0</v>
      </c>
      <c r="G363" s="282">
        <v>0</v>
      </c>
      <c r="H363" s="282">
        <v>0</v>
      </c>
      <c r="I363" s="282">
        <v>0</v>
      </c>
      <c r="J363" s="283">
        <v>0</v>
      </c>
      <c r="K363" s="281">
        <v>0</v>
      </c>
      <c r="L363" s="282">
        <v>0</v>
      </c>
      <c r="M363" s="282">
        <v>0</v>
      </c>
      <c r="N363" s="282">
        <v>0</v>
      </c>
      <c r="O363" s="281">
        <v>0</v>
      </c>
      <c r="P363" s="281">
        <v>0</v>
      </c>
      <c r="Q363" s="282">
        <v>0</v>
      </c>
      <c r="R363" s="284">
        <v>0</v>
      </c>
      <c r="S363"/>
      <c r="T363"/>
      <c r="U363"/>
      <c r="V363"/>
    </row>
    <row r="364" spans="1:22">
      <c r="A364" s="285"/>
      <c r="B364" s="286" t="s">
        <v>603</v>
      </c>
      <c r="C364" s="287">
        <v>0</v>
      </c>
      <c r="D364" s="288">
        <v>0</v>
      </c>
      <c r="E364" s="288">
        <v>0</v>
      </c>
      <c r="F364" s="288">
        <v>0</v>
      </c>
      <c r="G364" s="288">
        <v>0</v>
      </c>
      <c r="H364" s="288">
        <v>0</v>
      </c>
      <c r="I364" s="288">
        <v>0</v>
      </c>
      <c r="J364" s="289">
        <v>0</v>
      </c>
      <c r="K364" s="287">
        <v>0</v>
      </c>
      <c r="L364" s="288">
        <v>0</v>
      </c>
      <c r="M364" s="288">
        <v>0</v>
      </c>
      <c r="N364" s="288">
        <v>0</v>
      </c>
      <c r="O364" s="287">
        <v>0</v>
      </c>
      <c r="P364" s="287">
        <v>0</v>
      </c>
      <c r="Q364" s="288">
        <v>0</v>
      </c>
      <c r="R364" s="290">
        <v>0</v>
      </c>
      <c r="S364"/>
      <c r="T364"/>
      <c r="U364"/>
      <c r="V364"/>
    </row>
    <row r="365" spans="1:22">
      <c r="A365" s="292"/>
      <c r="B365" s="595" t="s">
        <v>604</v>
      </c>
      <c r="C365" s="596">
        <v>0</v>
      </c>
      <c r="D365" s="597">
        <v>0</v>
      </c>
      <c r="E365" s="597">
        <v>0</v>
      </c>
      <c r="F365" s="597">
        <v>0</v>
      </c>
      <c r="G365" s="597">
        <v>0</v>
      </c>
      <c r="H365" s="597">
        <v>0</v>
      </c>
      <c r="I365" s="597">
        <v>0</v>
      </c>
      <c r="J365" s="598">
        <v>0</v>
      </c>
      <c r="K365" s="596">
        <v>0</v>
      </c>
      <c r="L365" s="597">
        <v>0</v>
      </c>
      <c r="M365" s="597">
        <v>0</v>
      </c>
      <c r="N365" s="597">
        <v>0</v>
      </c>
      <c r="O365" s="596">
        <v>0</v>
      </c>
      <c r="P365" s="599">
        <v>0</v>
      </c>
      <c r="Q365" s="597">
        <v>0</v>
      </c>
      <c r="R365" s="600">
        <v>0</v>
      </c>
      <c r="S365"/>
      <c r="T365"/>
      <c r="U365"/>
      <c r="V365"/>
    </row>
    <row r="366" spans="1:22">
      <c r="A366" s="280" t="s">
        <v>326</v>
      </c>
      <c r="B366" s="264" t="s">
        <v>569</v>
      </c>
      <c r="C366" s="281">
        <v>0.94139386772580547</v>
      </c>
      <c r="D366" s="282">
        <v>0</v>
      </c>
      <c r="E366" s="282">
        <v>0.91080894811431445</v>
      </c>
      <c r="F366" s="282">
        <v>0</v>
      </c>
      <c r="G366" s="282">
        <v>0.83960640446127643</v>
      </c>
      <c r="H366" s="282">
        <v>0.77432107582143606</v>
      </c>
      <c r="I366" s="282">
        <v>0</v>
      </c>
      <c r="J366" s="283">
        <v>0.89792964020869304</v>
      </c>
      <c r="K366" s="281">
        <v>0.78893860530240767</v>
      </c>
      <c r="L366" s="282">
        <v>0.73916435045506135</v>
      </c>
      <c r="M366" s="282">
        <v>0.73706982231412421</v>
      </c>
      <c r="N366" s="282">
        <v>0.67103169499774307</v>
      </c>
      <c r="O366" s="281">
        <v>0.72410413202617552</v>
      </c>
      <c r="P366" s="281">
        <v>0</v>
      </c>
      <c r="Q366" s="282">
        <v>0</v>
      </c>
      <c r="R366" s="284">
        <v>0</v>
      </c>
      <c r="S366"/>
      <c r="T366"/>
      <c r="U366"/>
      <c r="V366"/>
    </row>
    <row r="367" spans="1:22">
      <c r="A367" s="285"/>
      <c r="B367" s="286" t="s">
        <v>570</v>
      </c>
      <c r="C367" s="287">
        <v>0.91705593210701131</v>
      </c>
      <c r="D367" s="288">
        <v>0</v>
      </c>
      <c r="E367" s="288">
        <v>0.91537064883262009</v>
      </c>
      <c r="F367" s="288">
        <v>0</v>
      </c>
      <c r="G367" s="288">
        <v>0.82903586676884344</v>
      </c>
      <c r="H367" s="288">
        <v>0.77431116635591468</v>
      </c>
      <c r="I367" s="288">
        <v>0</v>
      </c>
      <c r="J367" s="289">
        <v>0.88512508271120871</v>
      </c>
      <c r="K367" s="287">
        <v>0.81057428034138579</v>
      </c>
      <c r="L367" s="288">
        <v>0.75537589121635096</v>
      </c>
      <c r="M367" s="288">
        <v>0.70920297024073509</v>
      </c>
      <c r="N367" s="288">
        <v>0.60592497868712702</v>
      </c>
      <c r="O367" s="287">
        <v>0.70530546406698646</v>
      </c>
      <c r="P367" s="287">
        <v>0</v>
      </c>
      <c r="Q367" s="288">
        <v>0</v>
      </c>
      <c r="R367" s="290">
        <v>0</v>
      </c>
      <c r="S367"/>
      <c r="T367"/>
      <c r="U367"/>
      <c r="V367"/>
    </row>
    <row r="368" spans="1:22">
      <c r="A368" s="285"/>
      <c r="B368" s="595" t="s">
        <v>571</v>
      </c>
      <c r="C368" s="596">
        <v>-2.433793561879416</v>
      </c>
      <c r="D368" s="597">
        <v>0</v>
      </c>
      <c r="E368" s="597">
        <v>0.45617007183056391</v>
      </c>
      <c r="F368" s="597">
        <v>0</v>
      </c>
      <c r="G368" s="597">
        <v>-1.0570537692432991</v>
      </c>
      <c r="H368" s="597">
        <v>-9.9094655213738392E-4</v>
      </c>
      <c r="I368" s="597">
        <v>0</v>
      </c>
      <c r="J368" s="598">
        <v>-1.2804557497484326</v>
      </c>
      <c r="K368" s="596">
        <v>2.1635675038978119</v>
      </c>
      <c r="L368" s="597">
        <v>1.6211540761289611</v>
      </c>
      <c r="M368" s="597">
        <v>-2.7866852073389126</v>
      </c>
      <c r="N368" s="597">
        <v>-6.5106716310616042</v>
      </c>
      <c r="O368" s="596">
        <v>-1.8798667959189053</v>
      </c>
      <c r="P368" s="599">
        <v>0</v>
      </c>
      <c r="Q368" s="597">
        <v>0</v>
      </c>
      <c r="R368" s="600">
        <v>0</v>
      </c>
      <c r="S368"/>
      <c r="T368"/>
      <c r="U368"/>
      <c r="V368"/>
    </row>
    <row r="369" spans="1:22">
      <c r="A369" s="285"/>
      <c r="B369" s="264" t="s">
        <v>572</v>
      </c>
      <c r="C369" s="281">
        <v>8.8229283793219999E-4</v>
      </c>
      <c r="D369" s="282">
        <v>0</v>
      </c>
      <c r="E369" s="282">
        <v>6.4910228765597024E-3</v>
      </c>
      <c r="F369" s="282">
        <v>0</v>
      </c>
      <c r="G369" s="282">
        <v>2.4146083807032549E-3</v>
      </c>
      <c r="H369" s="282">
        <v>9.0161896077893752E-3</v>
      </c>
      <c r="I369" s="282">
        <v>0</v>
      </c>
      <c r="J369" s="283">
        <v>3.1401017931633923E-3</v>
      </c>
      <c r="K369" s="281">
        <v>0.2110613946975923</v>
      </c>
      <c r="L369" s="282">
        <v>5.5915797240555641E-2</v>
      </c>
      <c r="M369" s="282">
        <v>4.2308496549801351E-2</v>
      </c>
      <c r="N369" s="282">
        <v>8.4947839046199708E-2</v>
      </c>
      <c r="O369" s="281">
        <v>7.0061878236716613E-2</v>
      </c>
      <c r="P369" s="281">
        <v>0</v>
      </c>
      <c r="Q369" s="282">
        <v>0</v>
      </c>
      <c r="R369" s="284">
        <v>0</v>
      </c>
      <c r="S369"/>
      <c r="T369"/>
      <c r="U369"/>
      <c r="V369"/>
    </row>
    <row r="370" spans="1:22">
      <c r="A370" s="285"/>
      <c r="B370" s="286" t="s">
        <v>573</v>
      </c>
      <c r="C370" s="287">
        <v>4.673981842876279E-3</v>
      </c>
      <c r="D370" s="288">
        <v>0</v>
      </c>
      <c r="E370" s="288">
        <v>3.3841926133117419E-3</v>
      </c>
      <c r="F370" s="288">
        <v>0</v>
      </c>
      <c r="G370" s="288">
        <v>6.6899529257211671E-3</v>
      </c>
      <c r="H370" s="288">
        <v>1.5703335405013466E-2</v>
      </c>
      <c r="I370" s="288">
        <v>0</v>
      </c>
      <c r="J370" s="289">
        <v>5.636043980251108E-3</v>
      </c>
      <c r="K370" s="287">
        <v>0.12783368808249468</v>
      </c>
      <c r="L370" s="288">
        <v>4.7860230692308763E-2</v>
      </c>
      <c r="M370" s="288">
        <v>4.7421508090835694E-2</v>
      </c>
      <c r="N370" s="288">
        <v>7.9669762641898859E-2</v>
      </c>
      <c r="O370" s="287">
        <v>6.1195316058054561E-2</v>
      </c>
      <c r="P370" s="287">
        <v>0</v>
      </c>
      <c r="Q370" s="288">
        <v>0</v>
      </c>
      <c r="R370" s="290">
        <v>0</v>
      </c>
      <c r="S370"/>
      <c r="T370"/>
      <c r="U370"/>
      <c r="V370"/>
    </row>
    <row r="371" spans="1:22">
      <c r="A371" s="285"/>
      <c r="B371" s="595" t="s">
        <v>574</v>
      </c>
      <c r="C371" s="596">
        <v>0.37916890049440788</v>
      </c>
      <c r="D371" s="597">
        <v>0</v>
      </c>
      <c r="E371" s="597">
        <v>-0.31068302632479605</v>
      </c>
      <c r="F371" s="597">
        <v>0</v>
      </c>
      <c r="G371" s="597">
        <v>0.42753445450179123</v>
      </c>
      <c r="H371" s="597">
        <v>0.66871457972240911</v>
      </c>
      <c r="I371" s="597">
        <v>0</v>
      </c>
      <c r="J371" s="598">
        <v>0.24959421870877158</v>
      </c>
      <c r="K371" s="596">
        <v>-8.3227706615097627</v>
      </c>
      <c r="L371" s="597">
        <v>-0.80555665482468786</v>
      </c>
      <c r="M371" s="597">
        <v>0.51130115410343424</v>
      </c>
      <c r="N371" s="597">
        <v>-0.52780764043008488</v>
      </c>
      <c r="O371" s="596">
        <v>-0.88665621786620519</v>
      </c>
      <c r="P371" s="599">
        <v>0</v>
      </c>
      <c r="Q371" s="597">
        <v>0</v>
      </c>
      <c r="R371" s="600">
        <v>0</v>
      </c>
      <c r="S371"/>
      <c r="T371"/>
      <c r="U371"/>
      <c r="V371"/>
    </row>
    <row r="372" spans="1:22">
      <c r="A372" s="285"/>
      <c r="B372" s="264" t="s">
        <v>575</v>
      </c>
      <c r="C372" s="281">
        <v>5.4517174687202491E-2</v>
      </c>
      <c r="D372" s="282">
        <v>0</v>
      </c>
      <c r="E372" s="282">
        <v>7.4002834394845618E-2</v>
      </c>
      <c r="F372" s="282">
        <v>0</v>
      </c>
      <c r="G372" s="282">
        <v>9.4981782642127727E-2</v>
      </c>
      <c r="H372" s="282">
        <v>0.18588398829298153</v>
      </c>
      <c r="I372" s="282">
        <v>0</v>
      </c>
      <c r="J372" s="283">
        <v>7.7983129494877332E-2</v>
      </c>
      <c r="K372" s="281">
        <v>0</v>
      </c>
      <c r="L372" s="282">
        <v>0.18249975769664872</v>
      </c>
      <c r="M372" s="282">
        <v>0.16508290544674459</v>
      </c>
      <c r="N372" s="282">
        <v>0.19466109879690641</v>
      </c>
      <c r="O372" s="281">
        <v>0.16941918284463825</v>
      </c>
      <c r="P372" s="281">
        <v>0</v>
      </c>
      <c r="Q372" s="282">
        <v>0</v>
      </c>
      <c r="R372" s="284">
        <v>0</v>
      </c>
      <c r="S372"/>
      <c r="T372"/>
      <c r="U372"/>
      <c r="V372"/>
    </row>
    <row r="373" spans="1:22">
      <c r="A373" s="285"/>
      <c r="B373" s="286" t="s">
        <v>576</v>
      </c>
      <c r="C373" s="287">
        <v>7.6297579951283945E-2</v>
      </c>
      <c r="D373" s="288">
        <v>0</v>
      </c>
      <c r="E373" s="288">
        <v>7.6122426804347748E-2</v>
      </c>
      <c r="F373" s="288">
        <v>0</v>
      </c>
      <c r="G373" s="288">
        <v>0.10211971098582298</v>
      </c>
      <c r="H373" s="288">
        <v>0.19100298913847702</v>
      </c>
      <c r="I373" s="288">
        <v>0</v>
      </c>
      <c r="J373" s="289">
        <v>9.0638968598527922E-2</v>
      </c>
      <c r="K373" s="287">
        <v>6.1592031576119526E-2</v>
      </c>
      <c r="L373" s="288">
        <v>0.17247673525406912</v>
      </c>
      <c r="M373" s="288">
        <v>0.18574466391475911</v>
      </c>
      <c r="N373" s="288">
        <v>0.20813703055592947</v>
      </c>
      <c r="O373" s="287">
        <v>0.1792268230435802</v>
      </c>
      <c r="P373" s="287">
        <v>0</v>
      </c>
      <c r="Q373" s="288">
        <v>0</v>
      </c>
      <c r="R373" s="290">
        <v>0</v>
      </c>
      <c r="S373"/>
      <c r="T373"/>
      <c r="U373"/>
      <c r="V373"/>
    </row>
    <row r="374" spans="1:22">
      <c r="A374" s="285"/>
      <c r="B374" s="595" t="s">
        <v>577</v>
      </c>
      <c r="C374" s="596">
        <v>2.1780405264081453</v>
      </c>
      <c r="D374" s="597">
        <v>0</v>
      </c>
      <c r="E374" s="597">
        <v>0.21195924095021301</v>
      </c>
      <c r="F374" s="597">
        <v>0</v>
      </c>
      <c r="G374" s="597">
        <v>0.71379283436952545</v>
      </c>
      <c r="H374" s="597">
        <v>0.51190008454954916</v>
      </c>
      <c r="I374" s="597">
        <v>0</v>
      </c>
      <c r="J374" s="598">
        <v>1.265583910365059</v>
      </c>
      <c r="K374" s="596">
        <v>0</v>
      </c>
      <c r="L374" s="597">
        <v>-1.0023022442579603</v>
      </c>
      <c r="M374" s="597">
        <v>2.0661758468014519</v>
      </c>
      <c r="N374" s="597">
        <v>1.3475931759023063</v>
      </c>
      <c r="O374" s="596">
        <v>0.98076401989419526</v>
      </c>
      <c r="P374" s="599">
        <v>0</v>
      </c>
      <c r="Q374" s="597">
        <v>0</v>
      </c>
      <c r="R374" s="600">
        <v>0</v>
      </c>
      <c r="S374"/>
      <c r="T374"/>
      <c r="U374"/>
      <c r="V374"/>
    </row>
    <row r="375" spans="1:22">
      <c r="A375" s="285"/>
      <c r="B375" s="264" t="s">
        <v>578</v>
      </c>
      <c r="C375" s="281">
        <v>2.4986998044622128E-4</v>
      </c>
      <c r="D375" s="282">
        <v>0</v>
      </c>
      <c r="E375" s="282">
        <v>2.0879179762346893E-3</v>
      </c>
      <c r="F375" s="282">
        <v>0</v>
      </c>
      <c r="G375" s="282">
        <v>5.1281682752078644E-2</v>
      </c>
      <c r="H375" s="282">
        <v>2.7284494576895853E-2</v>
      </c>
      <c r="I375" s="282">
        <v>0</v>
      </c>
      <c r="J375" s="283">
        <v>1.4957675082973102E-2</v>
      </c>
      <c r="K375" s="281">
        <v>0</v>
      </c>
      <c r="L375" s="282">
        <v>3.8924860949141309E-4</v>
      </c>
      <c r="M375" s="282">
        <v>2.9602265540092265E-2</v>
      </c>
      <c r="N375" s="282">
        <v>4.8171655810833644E-2</v>
      </c>
      <c r="O375" s="281">
        <v>2.0246580076114368E-2</v>
      </c>
      <c r="P375" s="281">
        <v>0</v>
      </c>
      <c r="Q375" s="282">
        <v>0</v>
      </c>
      <c r="R375" s="284">
        <v>0</v>
      </c>
      <c r="S375"/>
      <c r="T375"/>
      <c r="U375"/>
      <c r="V375"/>
    </row>
    <row r="376" spans="1:22">
      <c r="A376" s="285"/>
      <c r="B376" s="286" t="s">
        <v>579</v>
      </c>
      <c r="C376" s="287">
        <v>1.4821761328626413E-4</v>
      </c>
      <c r="D376" s="288">
        <v>0</v>
      </c>
      <c r="E376" s="288">
        <v>1.9716295649796528E-3</v>
      </c>
      <c r="F376" s="288">
        <v>0</v>
      </c>
      <c r="G376" s="288">
        <v>4.4960041600525483E-2</v>
      </c>
      <c r="H376" s="288">
        <v>1.8982509100594867E-2</v>
      </c>
      <c r="I376" s="288">
        <v>0</v>
      </c>
      <c r="J376" s="289">
        <v>1.2839533162501138E-2</v>
      </c>
      <c r="K376" s="287">
        <v>0</v>
      </c>
      <c r="L376" s="288">
        <v>0</v>
      </c>
      <c r="M376" s="288">
        <v>4.2911563697563083E-2</v>
      </c>
      <c r="N376" s="288">
        <v>5.0480100507022028E-2</v>
      </c>
      <c r="O376" s="287">
        <v>2.5391811817390589E-2</v>
      </c>
      <c r="P376" s="287">
        <v>0</v>
      </c>
      <c r="Q376" s="288">
        <v>0</v>
      </c>
      <c r="R376" s="290">
        <v>0</v>
      </c>
      <c r="S376"/>
      <c r="T376"/>
      <c r="U376"/>
      <c r="V376"/>
    </row>
    <row r="377" spans="1:22">
      <c r="A377" s="285"/>
      <c r="B377" s="595" t="s">
        <v>580</v>
      </c>
      <c r="C377" s="596">
        <v>-1.0165236715995715E-2</v>
      </c>
      <c r="D377" s="597">
        <v>0</v>
      </c>
      <c r="E377" s="597">
        <v>-1.1628841125503652E-2</v>
      </c>
      <c r="F377" s="597">
        <v>0</v>
      </c>
      <c r="G377" s="597">
        <v>-0.63216411515531612</v>
      </c>
      <c r="H377" s="597">
        <v>-0.83019854763009859</v>
      </c>
      <c r="I377" s="597">
        <v>0</v>
      </c>
      <c r="J377" s="598">
        <v>-0.21181419204719648</v>
      </c>
      <c r="K377" s="596">
        <v>0</v>
      </c>
      <c r="L377" s="597">
        <v>-3.8924860949141313E-2</v>
      </c>
      <c r="M377" s="597">
        <v>1.3309298157470819</v>
      </c>
      <c r="N377" s="597">
        <v>0.23084446961883845</v>
      </c>
      <c r="O377" s="596">
        <v>0.51452317412762216</v>
      </c>
      <c r="P377" s="599">
        <v>0</v>
      </c>
      <c r="Q377" s="597">
        <v>0</v>
      </c>
      <c r="R377" s="600">
        <v>0</v>
      </c>
      <c r="S377"/>
      <c r="T377"/>
      <c r="U377"/>
      <c r="V377"/>
    </row>
    <row r="378" spans="1:22">
      <c r="A378" s="285"/>
      <c r="B378" s="264" t="s">
        <v>581</v>
      </c>
      <c r="C378" s="281">
        <v>2.15101250608937E-3</v>
      </c>
      <c r="D378" s="282">
        <v>0</v>
      </c>
      <c r="E378" s="282">
        <v>6.6092766380455607E-3</v>
      </c>
      <c r="F378" s="282">
        <v>0</v>
      </c>
      <c r="G378" s="282">
        <v>1.1715521763813932E-2</v>
      </c>
      <c r="H378" s="282">
        <v>3.4942517008971553E-3</v>
      </c>
      <c r="I378" s="282">
        <v>0</v>
      </c>
      <c r="J378" s="283">
        <v>5.6256877990299879E-3</v>
      </c>
      <c r="K378" s="281">
        <v>0</v>
      </c>
      <c r="L378" s="282">
        <v>3.0436427416858686E-3</v>
      </c>
      <c r="M378" s="282">
        <v>2.2872248424628712E-2</v>
      </c>
      <c r="N378" s="282">
        <v>1.1877113483171567E-3</v>
      </c>
      <c r="O378" s="281">
        <v>7.4090960153936816E-3</v>
      </c>
      <c r="P378" s="281">
        <v>0</v>
      </c>
      <c r="Q378" s="282">
        <v>0</v>
      </c>
      <c r="R378" s="284">
        <v>0</v>
      </c>
      <c r="S378"/>
      <c r="T378"/>
      <c r="U378"/>
      <c r="V378"/>
    </row>
    <row r="379" spans="1:22">
      <c r="A379" s="285"/>
      <c r="B379" s="286" t="s">
        <v>582</v>
      </c>
      <c r="C379" s="287">
        <v>8.1845952493924475E-4</v>
      </c>
      <c r="D379" s="288">
        <v>0</v>
      </c>
      <c r="E379" s="288">
        <v>3.151102184740814E-3</v>
      </c>
      <c r="F379" s="288">
        <v>0</v>
      </c>
      <c r="G379" s="288">
        <v>1.7194427719086979E-2</v>
      </c>
      <c r="H379" s="288">
        <v>0</v>
      </c>
      <c r="I379" s="288">
        <v>0</v>
      </c>
      <c r="J379" s="289">
        <v>5.3102056244456368E-3</v>
      </c>
      <c r="K379" s="287">
        <v>0</v>
      </c>
      <c r="L379" s="288">
        <v>1.4837506124335209E-4</v>
      </c>
      <c r="M379" s="288">
        <v>1.4528252538691593E-2</v>
      </c>
      <c r="N379" s="288">
        <v>5.5788127608022611E-2</v>
      </c>
      <c r="O379" s="287">
        <v>1.9242879747806627E-2</v>
      </c>
      <c r="P379" s="287">
        <v>0</v>
      </c>
      <c r="Q379" s="288">
        <v>0</v>
      </c>
      <c r="R379" s="290">
        <v>0</v>
      </c>
      <c r="S379"/>
      <c r="T379"/>
      <c r="U379"/>
      <c r="V379"/>
    </row>
    <row r="380" spans="1:22">
      <c r="A380" s="285"/>
      <c r="B380" s="595" t="s">
        <v>583</v>
      </c>
      <c r="C380" s="596">
        <v>-0.13325529811501252</v>
      </c>
      <c r="D380" s="597">
        <v>0</v>
      </c>
      <c r="E380" s="597">
        <v>-0.34581744533047465</v>
      </c>
      <c r="F380" s="597">
        <v>0</v>
      </c>
      <c r="G380" s="597">
        <v>0.54789059552730479</v>
      </c>
      <c r="H380" s="597">
        <v>-0.34942517008971552</v>
      </c>
      <c r="I380" s="597">
        <v>0</v>
      </c>
      <c r="J380" s="598">
        <v>-3.1548217458435106E-2</v>
      </c>
      <c r="K380" s="596">
        <v>0</v>
      </c>
      <c r="L380" s="597">
        <v>-0.28952676804425165</v>
      </c>
      <c r="M380" s="597">
        <v>-0.83439958859371188</v>
      </c>
      <c r="N380" s="597">
        <v>5.460041625970546</v>
      </c>
      <c r="O380" s="596">
        <v>1.1833783732412946</v>
      </c>
      <c r="P380" s="599">
        <v>0</v>
      </c>
      <c r="Q380" s="597">
        <v>0</v>
      </c>
      <c r="R380" s="600">
        <v>0</v>
      </c>
      <c r="S380"/>
      <c r="T380"/>
      <c r="U380"/>
      <c r="V380"/>
    </row>
    <row r="381" spans="1:22">
      <c r="A381" s="285"/>
      <c r="B381" s="264" t="s">
        <v>584</v>
      </c>
      <c r="C381" s="281">
        <v>8.0578226252424855E-4</v>
      </c>
      <c r="D381" s="282">
        <v>0</v>
      </c>
      <c r="E381" s="282">
        <v>0</v>
      </c>
      <c r="F381" s="282">
        <v>0</v>
      </c>
      <c r="G381" s="282">
        <v>0</v>
      </c>
      <c r="H381" s="282">
        <v>0</v>
      </c>
      <c r="I381" s="282">
        <v>0</v>
      </c>
      <c r="J381" s="283">
        <v>3.6376562126314986E-4</v>
      </c>
      <c r="K381" s="281">
        <v>0</v>
      </c>
      <c r="L381" s="282">
        <v>1.8987203256557041E-2</v>
      </c>
      <c r="M381" s="282">
        <v>3.0642617246088356E-3</v>
      </c>
      <c r="N381" s="282">
        <v>0</v>
      </c>
      <c r="O381" s="281">
        <v>8.7591308009615145E-3</v>
      </c>
      <c r="P381" s="281">
        <v>0</v>
      </c>
      <c r="Q381" s="282">
        <v>0</v>
      </c>
      <c r="R381" s="284">
        <v>0</v>
      </c>
      <c r="S381"/>
      <c r="T381"/>
      <c r="U381"/>
      <c r="V381"/>
    </row>
    <row r="382" spans="1:22">
      <c r="A382" s="285"/>
      <c r="B382" s="286" t="s">
        <v>585</v>
      </c>
      <c r="C382" s="287">
        <v>1.0058289606030126E-3</v>
      </c>
      <c r="D382" s="288">
        <v>0</v>
      </c>
      <c r="E382" s="288">
        <v>0</v>
      </c>
      <c r="F382" s="288">
        <v>0</v>
      </c>
      <c r="G382" s="288">
        <v>0</v>
      </c>
      <c r="H382" s="288">
        <v>0</v>
      </c>
      <c r="I382" s="288">
        <v>0</v>
      </c>
      <c r="J382" s="289">
        <v>4.5016592306543386E-4</v>
      </c>
      <c r="K382" s="287">
        <v>0</v>
      </c>
      <c r="L382" s="288">
        <v>2.4138767776027845E-2</v>
      </c>
      <c r="M382" s="288">
        <v>1.9104151741548118E-4</v>
      </c>
      <c r="N382" s="288">
        <v>0</v>
      </c>
      <c r="O382" s="287">
        <v>9.6377052661816096E-3</v>
      </c>
      <c r="P382" s="287">
        <v>0</v>
      </c>
      <c r="Q382" s="288">
        <v>0</v>
      </c>
      <c r="R382" s="290">
        <v>0</v>
      </c>
      <c r="S382"/>
      <c r="T382"/>
      <c r="U382"/>
      <c r="V382"/>
    </row>
    <row r="383" spans="1:22">
      <c r="A383" s="285"/>
      <c r="B383" s="595" t="s">
        <v>586</v>
      </c>
      <c r="C383" s="596">
        <v>2.00046698078764E-2</v>
      </c>
      <c r="D383" s="597">
        <v>0</v>
      </c>
      <c r="E383" s="597">
        <v>0</v>
      </c>
      <c r="F383" s="597">
        <v>0</v>
      </c>
      <c r="G383" s="597">
        <v>0</v>
      </c>
      <c r="H383" s="597">
        <v>0</v>
      </c>
      <c r="I383" s="597">
        <v>0</v>
      </c>
      <c r="J383" s="598">
        <v>8.6400301802283998E-3</v>
      </c>
      <c r="K383" s="596">
        <v>0</v>
      </c>
      <c r="L383" s="597">
        <v>0.51515645194708037</v>
      </c>
      <c r="M383" s="597">
        <v>-0.28732202071933544</v>
      </c>
      <c r="N383" s="597">
        <v>0</v>
      </c>
      <c r="O383" s="596">
        <v>8.7857446522009511E-2</v>
      </c>
      <c r="P383" s="599">
        <v>0</v>
      </c>
      <c r="Q383" s="597">
        <v>0</v>
      </c>
      <c r="R383" s="600">
        <v>0</v>
      </c>
      <c r="S383"/>
      <c r="T383"/>
      <c r="U383"/>
      <c r="V383"/>
    </row>
    <row r="384" spans="1:22">
      <c r="A384" s="285"/>
      <c r="B384" s="264" t="s">
        <v>587</v>
      </c>
      <c r="C384" s="281">
        <v>0.78712680620484488</v>
      </c>
      <c r="D384" s="282">
        <v>0</v>
      </c>
      <c r="E384" s="282">
        <v>0.88912944393801274</v>
      </c>
      <c r="F384" s="282">
        <v>0</v>
      </c>
      <c r="G384" s="282">
        <v>0.62960561221482048</v>
      </c>
      <c r="H384" s="282">
        <v>0</v>
      </c>
      <c r="I384" s="282">
        <v>0</v>
      </c>
      <c r="J384" s="283">
        <v>0.77269818756852149</v>
      </c>
      <c r="K384" s="281">
        <v>0</v>
      </c>
      <c r="L384" s="282">
        <v>0</v>
      </c>
      <c r="M384" s="282">
        <v>0</v>
      </c>
      <c r="N384" s="282">
        <v>0</v>
      </c>
      <c r="O384" s="281">
        <v>0</v>
      </c>
      <c r="P384" s="281">
        <v>0</v>
      </c>
      <c r="Q384" s="282">
        <v>0</v>
      </c>
      <c r="R384" s="284">
        <v>0</v>
      </c>
      <c r="S384"/>
      <c r="T384"/>
      <c r="U384"/>
      <c r="V384"/>
    </row>
    <row r="385" spans="1:22">
      <c r="A385" s="285"/>
      <c r="B385" s="286" t="s">
        <v>588</v>
      </c>
      <c r="C385" s="287">
        <v>0.76866206007661741</v>
      </c>
      <c r="D385" s="288">
        <v>0</v>
      </c>
      <c r="E385" s="288">
        <v>0.88306174689392525</v>
      </c>
      <c r="F385" s="288">
        <v>0</v>
      </c>
      <c r="G385" s="288">
        <v>0.56571077198278275</v>
      </c>
      <c r="H385" s="288">
        <v>0</v>
      </c>
      <c r="I385" s="288">
        <v>0</v>
      </c>
      <c r="J385" s="289">
        <v>0.7486298012654844</v>
      </c>
      <c r="K385" s="287">
        <v>0</v>
      </c>
      <c r="L385" s="288">
        <v>0</v>
      </c>
      <c r="M385" s="288">
        <v>0</v>
      </c>
      <c r="N385" s="288">
        <v>0</v>
      </c>
      <c r="O385" s="287">
        <v>0</v>
      </c>
      <c r="P385" s="287">
        <v>0</v>
      </c>
      <c r="Q385" s="288">
        <v>0</v>
      </c>
      <c r="R385" s="290">
        <v>0</v>
      </c>
      <c r="S385"/>
      <c r="T385"/>
      <c r="U385"/>
      <c r="V385"/>
    </row>
    <row r="386" spans="1:22">
      <c r="A386" s="285"/>
      <c r="B386" s="595" t="s">
        <v>589</v>
      </c>
      <c r="C386" s="596">
        <v>-1.8464746128227461</v>
      </c>
      <c r="D386" s="597">
        <v>0</v>
      </c>
      <c r="E386" s="597">
        <v>-0.60676970440874944</v>
      </c>
      <c r="F386" s="597">
        <v>0</v>
      </c>
      <c r="G386" s="597">
        <v>-6.3894840232037726</v>
      </c>
      <c r="H386" s="597">
        <v>0</v>
      </c>
      <c r="I386" s="597">
        <v>0</v>
      </c>
      <c r="J386" s="598">
        <v>-2.4068386303037093</v>
      </c>
      <c r="K386" s="596">
        <v>0</v>
      </c>
      <c r="L386" s="597">
        <v>0</v>
      </c>
      <c r="M386" s="597">
        <v>0</v>
      </c>
      <c r="N386" s="597">
        <v>0</v>
      </c>
      <c r="O386" s="596">
        <v>0</v>
      </c>
      <c r="P386" s="599">
        <v>0</v>
      </c>
      <c r="Q386" s="597">
        <v>0</v>
      </c>
      <c r="R386" s="600">
        <v>0</v>
      </c>
      <c r="S386"/>
      <c r="T386"/>
      <c r="U386"/>
      <c r="V386"/>
    </row>
    <row r="387" spans="1:22">
      <c r="A387" s="285"/>
      <c r="B387" s="264" t="s">
        <v>590</v>
      </c>
      <c r="C387" s="281">
        <v>7.8921855078623038E-2</v>
      </c>
      <c r="D387" s="282">
        <v>0</v>
      </c>
      <c r="E387" s="282">
        <v>1.8277119416590701E-2</v>
      </c>
      <c r="F387" s="282">
        <v>0</v>
      </c>
      <c r="G387" s="282">
        <v>1.0100414627915659E-2</v>
      </c>
      <c r="H387" s="282">
        <v>0</v>
      </c>
      <c r="I387" s="282">
        <v>0</v>
      </c>
      <c r="J387" s="283">
        <v>5.380235652772853E-2</v>
      </c>
      <c r="K387" s="281">
        <v>0</v>
      </c>
      <c r="L387" s="282">
        <v>0</v>
      </c>
      <c r="M387" s="282">
        <v>0</v>
      </c>
      <c r="N387" s="282">
        <v>0</v>
      </c>
      <c r="O387" s="281">
        <v>0</v>
      </c>
      <c r="P387" s="281">
        <v>0</v>
      </c>
      <c r="Q387" s="282">
        <v>0</v>
      </c>
      <c r="R387" s="284">
        <v>0</v>
      </c>
      <c r="S387"/>
      <c r="T387"/>
      <c r="U387"/>
      <c r="V387"/>
    </row>
    <row r="388" spans="1:22">
      <c r="A388" s="285"/>
      <c r="B388" s="286" t="s">
        <v>591</v>
      </c>
      <c r="C388" s="287">
        <v>8.1552158294845634E-2</v>
      </c>
      <c r="D388" s="288">
        <v>0</v>
      </c>
      <c r="E388" s="288">
        <v>4.0415391979355265E-2</v>
      </c>
      <c r="F388" s="288">
        <v>0</v>
      </c>
      <c r="G388" s="288">
        <v>1.3565133135819031E-2</v>
      </c>
      <c r="H388" s="288">
        <v>0</v>
      </c>
      <c r="I388" s="288">
        <v>0</v>
      </c>
      <c r="J388" s="289">
        <v>6.0663785164720908E-2</v>
      </c>
      <c r="K388" s="287">
        <v>0</v>
      </c>
      <c r="L388" s="288">
        <v>0</v>
      </c>
      <c r="M388" s="288">
        <v>0</v>
      </c>
      <c r="N388" s="288">
        <v>0</v>
      </c>
      <c r="O388" s="287">
        <v>0</v>
      </c>
      <c r="P388" s="287">
        <v>0</v>
      </c>
      <c r="Q388" s="288">
        <v>0</v>
      </c>
      <c r="R388" s="290">
        <v>0</v>
      </c>
      <c r="S388"/>
      <c r="T388"/>
      <c r="U388"/>
      <c r="V388"/>
    </row>
    <row r="389" spans="1:22">
      <c r="A389" s="285"/>
      <c r="B389" s="595" t="s">
        <v>592</v>
      </c>
      <c r="C389" s="596">
        <v>0.26303032162225959</v>
      </c>
      <c r="D389" s="597">
        <v>0</v>
      </c>
      <c r="E389" s="597">
        <v>2.2138272562764563</v>
      </c>
      <c r="F389" s="597">
        <v>0</v>
      </c>
      <c r="G389" s="597">
        <v>0.34647185079033727</v>
      </c>
      <c r="H389" s="597">
        <v>0</v>
      </c>
      <c r="I389" s="597">
        <v>0</v>
      </c>
      <c r="J389" s="598">
        <v>0.68614286369923783</v>
      </c>
      <c r="K389" s="596">
        <v>0</v>
      </c>
      <c r="L389" s="597">
        <v>0</v>
      </c>
      <c r="M389" s="597">
        <v>0</v>
      </c>
      <c r="N389" s="597">
        <v>0</v>
      </c>
      <c r="O389" s="596">
        <v>0</v>
      </c>
      <c r="P389" s="599">
        <v>0</v>
      </c>
      <c r="Q389" s="597">
        <v>0</v>
      </c>
      <c r="R389" s="600">
        <v>0</v>
      </c>
      <c r="S389"/>
      <c r="T389"/>
      <c r="U389"/>
      <c r="V389"/>
    </row>
    <row r="390" spans="1:22">
      <c r="A390" s="285"/>
      <c r="B390" s="264" t="s">
        <v>593</v>
      </c>
      <c r="C390" s="281">
        <v>0.11103511474713132</v>
      </c>
      <c r="D390" s="282">
        <v>0</v>
      </c>
      <c r="E390" s="282">
        <v>4.6718322698268006E-2</v>
      </c>
      <c r="F390" s="282">
        <v>0</v>
      </c>
      <c r="G390" s="282">
        <v>0.19923755624987718</v>
      </c>
      <c r="H390" s="282">
        <v>0</v>
      </c>
      <c r="I390" s="282">
        <v>0</v>
      </c>
      <c r="J390" s="283">
        <v>0.1178263864265307</v>
      </c>
      <c r="K390" s="281">
        <v>0</v>
      </c>
      <c r="L390" s="282">
        <v>0</v>
      </c>
      <c r="M390" s="282">
        <v>0</v>
      </c>
      <c r="N390" s="282">
        <v>0</v>
      </c>
      <c r="O390" s="281">
        <v>0</v>
      </c>
      <c r="P390" s="281">
        <v>0</v>
      </c>
      <c r="Q390" s="282">
        <v>0</v>
      </c>
      <c r="R390" s="284">
        <v>0</v>
      </c>
      <c r="S390"/>
      <c r="T390"/>
      <c r="U390"/>
      <c r="V390"/>
    </row>
    <row r="391" spans="1:22">
      <c r="A391" s="285"/>
      <c r="B391" s="286" t="s">
        <v>594</v>
      </c>
      <c r="C391" s="287">
        <v>0.13226045135035147</v>
      </c>
      <c r="D391" s="288">
        <v>0</v>
      </c>
      <c r="E391" s="288">
        <v>3.987430022268007E-2</v>
      </c>
      <c r="F391" s="288">
        <v>0</v>
      </c>
      <c r="G391" s="288">
        <v>0.26096111204278233</v>
      </c>
      <c r="H391" s="288">
        <v>0</v>
      </c>
      <c r="I391" s="288">
        <v>0</v>
      </c>
      <c r="J391" s="289">
        <v>0.1414238184356712</v>
      </c>
      <c r="K391" s="287">
        <v>0</v>
      </c>
      <c r="L391" s="288">
        <v>0</v>
      </c>
      <c r="M391" s="288">
        <v>0</v>
      </c>
      <c r="N391" s="288">
        <v>0</v>
      </c>
      <c r="O391" s="287">
        <v>0</v>
      </c>
      <c r="P391" s="287">
        <v>0</v>
      </c>
      <c r="Q391" s="288">
        <v>0</v>
      </c>
      <c r="R391" s="290">
        <v>0</v>
      </c>
      <c r="S391"/>
      <c r="T391"/>
      <c r="U391"/>
      <c r="V391"/>
    </row>
    <row r="392" spans="1:22">
      <c r="A392" s="285"/>
      <c r="B392" s="595" t="s">
        <v>595</v>
      </c>
      <c r="C392" s="596">
        <v>2.1225336603220151</v>
      </c>
      <c r="D392" s="597">
        <v>0</v>
      </c>
      <c r="E392" s="597">
        <v>-0.68440224755879353</v>
      </c>
      <c r="F392" s="597">
        <v>0</v>
      </c>
      <c r="G392" s="597">
        <v>6.1723555792905147</v>
      </c>
      <c r="H392" s="597">
        <v>0</v>
      </c>
      <c r="I392" s="597">
        <v>0</v>
      </c>
      <c r="J392" s="598">
        <v>2.3597432009140498</v>
      </c>
      <c r="K392" s="596">
        <v>0</v>
      </c>
      <c r="L392" s="597">
        <v>0</v>
      </c>
      <c r="M392" s="597">
        <v>0</v>
      </c>
      <c r="N392" s="597">
        <v>0</v>
      </c>
      <c r="O392" s="596">
        <v>0</v>
      </c>
      <c r="P392" s="599">
        <v>0</v>
      </c>
      <c r="Q392" s="597">
        <v>0</v>
      </c>
      <c r="R392" s="600">
        <v>0</v>
      </c>
      <c r="S392"/>
      <c r="T392"/>
      <c r="U392"/>
      <c r="V392"/>
    </row>
    <row r="393" spans="1:22">
      <c r="A393" s="285"/>
      <c r="B393" s="264" t="s">
        <v>596</v>
      </c>
      <c r="C393" s="281">
        <v>6.3549192520186999E-3</v>
      </c>
      <c r="D393" s="282">
        <v>0</v>
      </c>
      <c r="E393" s="282">
        <v>1.5565177757520511E-2</v>
      </c>
      <c r="F393" s="282">
        <v>0</v>
      </c>
      <c r="G393" s="282">
        <v>0.14437304722042091</v>
      </c>
      <c r="H393" s="282">
        <v>0</v>
      </c>
      <c r="I393" s="282">
        <v>0</v>
      </c>
      <c r="J393" s="283">
        <v>3.6627662913013885E-2</v>
      </c>
      <c r="K393" s="281">
        <v>0</v>
      </c>
      <c r="L393" s="282">
        <v>0</v>
      </c>
      <c r="M393" s="282">
        <v>0</v>
      </c>
      <c r="N393" s="282">
        <v>0</v>
      </c>
      <c r="O393" s="281">
        <v>0</v>
      </c>
      <c r="P393" s="281">
        <v>0</v>
      </c>
      <c r="Q393" s="282">
        <v>0</v>
      </c>
      <c r="R393" s="284">
        <v>0</v>
      </c>
      <c r="S393"/>
      <c r="T393"/>
      <c r="U393"/>
      <c r="V393"/>
    </row>
    <row r="394" spans="1:22">
      <c r="A394" s="285"/>
      <c r="B394" s="286" t="s">
        <v>597</v>
      </c>
      <c r="C394" s="287">
        <v>1.3664625923406489E-3</v>
      </c>
      <c r="D394" s="288">
        <v>0</v>
      </c>
      <c r="E394" s="288">
        <v>1.3985140787912843E-2</v>
      </c>
      <c r="F394" s="288">
        <v>0</v>
      </c>
      <c r="G394" s="288">
        <v>0.1423779976521885</v>
      </c>
      <c r="H394" s="288">
        <v>0</v>
      </c>
      <c r="I394" s="288">
        <v>0</v>
      </c>
      <c r="J394" s="289">
        <v>3.1718801057540921E-2</v>
      </c>
      <c r="K394" s="287">
        <v>0</v>
      </c>
      <c r="L394" s="288">
        <v>0</v>
      </c>
      <c r="M394" s="288">
        <v>0</v>
      </c>
      <c r="N394" s="288">
        <v>0</v>
      </c>
      <c r="O394" s="287">
        <v>0</v>
      </c>
      <c r="P394" s="287">
        <v>0</v>
      </c>
      <c r="Q394" s="288">
        <v>0</v>
      </c>
      <c r="R394" s="290">
        <v>0</v>
      </c>
      <c r="S394"/>
      <c r="T394"/>
      <c r="U394"/>
      <c r="V394"/>
    </row>
    <row r="395" spans="1:22">
      <c r="A395" s="285"/>
      <c r="B395" s="595" t="s">
        <v>598</v>
      </c>
      <c r="C395" s="596">
        <v>-0.49884566596780505</v>
      </c>
      <c r="D395" s="597">
        <v>0</v>
      </c>
      <c r="E395" s="597">
        <v>-0.15800369696076683</v>
      </c>
      <c r="F395" s="597">
        <v>0</v>
      </c>
      <c r="G395" s="597">
        <v>-0.19950495682324043</v>
      </c>
      <c r="H395" s="597">
        <v>0</v>
      </c>
      <c r="I395" s="597">
        <v>0</v>
      </c>
      <c r="J395" s="598">
        <v>-0.49088618554729635</v>
      </c>
      <c r="K395" s="596">
        <v>0</v>
      </c>
      <c r="L395" s="597">
        <v>0</v>
      </c>
      <c r="M395" s="597">
        <v>0</v>
      </c>
      <c r="N395" s="597">
        <v>0</v>
      </c>
      <c r="O395" s="596">
        <v>0</v>
      </c>
      <c r="P395" s="599">
        <v>0</v>
      </c>
      <c r="Q395" s="597">
        <v>0</v>
      </c>
      <c r="R395" s="600">
        <v>0</v>
      </c>
      <c r="S395"/>
      <c r="T395"/>
      <c r="U395"/>
      <c r="V395"/>
    </row>
    <row r="396" spans="1:22">
      <c r="A396" s="285"/>
      <c r="B396" s="264" t="s">
        <v>599</v>
      </c>
      <c r="C396" s="281">
        <v>1.4688695282617934E-2</v>
      </c>
      <c r="D396" s="282">
        <v>0</v>
      </c>
      <c r="E396" s="282">
        <v>3.0309936189608023E-2</v>
      </c>
      <c r="F396" s="282">
        <v>0</v>
      </c>
      <c r="G396" s="282">
        <v>1.6683369686965748E-2</v>
      </c>
      <c r="H396" s="282">
        <v>0</v>
      </c>
      <c r="I396" s="282">
        <v>0</v>
      </c>
      <c r="J396" s="283">
        <v>1.7896079654060752E-2</v>
      </c>
      <c r="K396" s="281">
        <v>0</v>
      </c>
      <c r="L396" s="282">
        <v>0</v>
      </c>
      <c r="M396" s="282">
        <v>0</v>
      </c>
      <c r="N396" s="282">
        <v>0</v>
      </c>
      <c r="O396" s="281">
        <v>0</v>
      </c>
      <c r="P396" s="281">
        <v>0</v>
      </c>
      <c r="Q396" s="282">
        <v>0</v>
      </c>
      <c r="R396" s="284">
        <v>0</v>
      </c>
      <c r="S396"/>
      <c r="T396"/>
      <c r="U396"/>
      <c r="V396"/>
    </row>
    <row r="397" spans="1:22">
      <c r="A397" s="285"/>
      <c r="B397" s="286" t="s">
        <v>600</v>
      </c>
      <c r="C397" s="287">
        <v>1.4136025682336233E-2</v>
      </c>
      <c r="D397" s="288">
        <v>0</v>
      </c>
      <c r="E397" s="288">
        <v>2.2663420116126615E-2</v>
      </c>
      <c r="F397" s="288">
        <v>0</v>
      </c>
      <c r="G397" s="288">
        <v>1.7384985186427414E-2</v>
      </c>
      <c r="H397" s="288">
        <v>0</v>
      </c>
      <c r="I397" s="288">
        <v>0</v>
      </c>
      <c r="J397" s="289">
        <v>1.6304993613165789E-2</v>
      </c>
      <c r="K397" s="287">
        <v>0</v>
      </c>
      <c r="L397" s="288">
        <v>0</v>
      </c>
      <c r="M397" s="288">
        <v>0</v>
      </c>
      <c r="N397" s="288">
        <v>0</v>
      </c>
      <c r="O397" s="287">
        <v>0</v>
      </c>
      <c r="P397" s="287">
        <v>0</v>
      </c>
      <c r="Q397" s="288">
        <v>0</v>
      </c>
      <c r="R397" s="290">
        <v>0</v>
      </c>
      <c r="S397"/>
      <c r="T397"/>
      <c r="U397"/>
      <c r="V397"/>
    </row>
    <row r="398" spans="1:22">
      <c r="A398" s="285"/>
      <c r="B398" s="595" t="s">
        <v>601</v>
      </c>
      <c r="C398" s="596">
        <v>-5.5266960028170151E-2</v>
      </c>
      <c r="D398" s="597">
        <v>0</v>
      </c>
      <c r="E398" s="597">
        <v>-0.76465160734814075</v>
      </c>
      <c r="F398" s="597">
        <v>0</v>
      </c>
      <c r="G398" s="597">
        <v>7.0161549946166565E-2</v>
      </c>
      <c r="H398" s="597">
        <v>0</v>
      </c>
      <c r="I398" s="597">
        <v>0</v>
      </c>
      <c r="J398" s="598">
        <v>-0.15910860408949629</v>
      </c>
      <c r="K398" s="596">
        <v>0</v>
      </c>
      <c r="L398" s="597">
        <v>0</v>
      </c>
      <c r="M398" s="597">
        <v>0</v>
      </c>
      <c r="N398" s="597">
        <v>0</v>
      </c>
      <c r="O398" s="596">
        <v>0</v>
      </c>
      <c r="P398" s="599">
        <v>0</v>
      </c>
      <c r="Q398" s="597">
        <v>0</v>
      </c>
      <c r="R398" s="600">
        <v>0</v>
      </c>
      <c r="S398"/>
      <c r="T398"/>
      <c r="U398"/>
      <c r="V398"/>
    </row>
    <row r="399" spans="1:22">
      <c r="A399" s="285"/>
      <c r="B399" s="264" t="s">
        <v>602</v>
      </c>
      <c r="C399" s="281">
        <v>1.8726094347641309E-3</v>
      </c>
      <c r="D399" s="282">
        <v>0</v>
      </c>
      <c r="E399" s="282">
        <v>0</v>
      </c>
      <c r="F399" s="282">
        <v>0</v>
      </c>
      <c r="G399" s="282">
        <v>0</v>
      </c>
      <c r="H399" s="282">
        <v>0</v>
      </c>
      <c r="I399" s="282">
        <v>0</v>
      </c>
      <c r="J399" s="283">
        <v>1.1493269101446441E-3</v>
      </c>
      <c r="K399" s="281">
        <v>0</v>
      </c>
      <c r="L399" s="282">
        <v>0</v>
      </c>
      <c r="M399" s="282">
        <v>0</v>
      </c>
      <c r="N399" s="282">
        <v>0</v>
      </c>
      <c r="O399" s="281">
        <v>0</v>
      </c>
      <c r="P399" s="281">
        <v>0</v>
      </c>
      <c r="Q399" s="282">
        <v>0</v>
      </c>
      <c r="R399" s="284">
        <v>0</v>
      </c>
      <c r="S399"/>
      <c r="T399"/>
      <c r="U399"/>
      <c r="V399"/>
    </row>
    <row r="400" spans="1:22">
      <c r="A400" s="285"/>
      <c r="B400" s="286" t="s">
        <v>603</v>
      </c>
      <c r="C400" s="287">
        <v>2.0228420035086465E-3</v>
      </c>
      <c r="D400" s="288">
        <v>0</v>
      </c>
      <c r="E400" s="288">
        <v>0</v>
      </c>
      <c r="F400" s="288">
        <v>0</v>
      </c>
      <c r="G400" s="288">
        <v>0</v>
      </c>
      <c r="H400" s="288">
        <v>0</v>
      </c>
      <c r="I400" s="288">
        <v>0</v>
      </c>
      <c r="J400" s="289">
        <v>1.2588004634168078E-3</v>
      </c>
      <c r="K400" s="287">
        <v>0</v>
      </c>
      <c r="L400" s="288">
        <v>0</v>
      </c>
      <c r="M400" s="288">
        <v>0</v>
      </c>
      <c r="N400" s="288">
        <v>0</v>
      </c>
      <c r="O400" s="287">
        <v>0</v>
      </c>
      <c r="P400" s="287">
        <v>0</v>
      </c>
      <c r="Q400" s="288">
        <v>0</v>
      </c>
      <c r="R400" s="290">
        <v>0</v>
      </c>
      <c r="S400"/>
      <c r="T400"/>
      <c r="U400"/>
      <c r="V400"/>
    </row>
    <row r="401" spans="1:22">
      <c r="A401" s="292"/>
      <c r="B401" s="595" t="s">
        <v>604</v>
      </c>
      <c r="C401" s="596">
        <v>1.502325687445156E-2</v>
      </c>
      <c r="D401" s="597">
        <v>0</v>
      </c>
      <c r="E401" s="597">
        <v>0</v>
      </c>
      <c r="F401" s="597">
        <v>0</v>
      </c>
      <c r="G401" s="597">
        <v>0</v>
      </c>
      <c r="H401" s="597">
        <v>0</v>
      </c>
      <c r="I401" s="597">
        <v>0</v>
      </c>
      <c r="J401" s="598">
        <v>1.0947355327216367E-2</v>
      </c>
      <c r="K401" s="596">
        <v>0</v>
      </c>
      <c r="L401" s="597">
        <v>0</v>
      </c>
      <c r="M401" s="597">
        <v>0</v>
      </c>
      <c r="N401" s="597">
        <v>0</v>
      </c>
      <c r="O401" s="596">
        <v>0</v>
      </c>
      <c r="P401" s="599">
        <v>0</v>
      </c>
      <c r="Q401" s="597">
        <v>0</v>
      </c>
      <c r="R401" s="600">
        <v>0</v>
      </c>
      <c r="S401"/>
      <c r="T401"/>
      <c r="U401"/>
      <c r="V401"/>
    </row>
    <row r="402" spans="1:22">
      <c r="A402" s="280" t="s">
        <v>354</v>
      </c>
      <c r="B402" s="264" t="s">
        <v>569</v>
      </c>
      <c r="C402" s="281">
        <v>0.9491404227986322</v>
      </c>
      <c r="D402" s="282">
        <v>0</v>
      </c>
      <c r="E402" s="282">
        <v>0.9962382416202793</v>
      </c>
      <c r="F402" s="282">
        <v>0.99644626319190177</v>
      </c>
      <c r="G402" s="282">
        <v>0.97473627720511824</v>
      </c>
      <c r="H402" s="282">
        <v>0.89287653794722366</v>
      </c>
      <c r="I402" s="282">
        <v>0</v>
      </c>
      <c r="J402" s="283">
        <v>0.95607355145993833</v>
      </c>
      <c r="K402" s="281">
        <v>0</v>
      </c>
      <c r="L402" s="282">
        <v>0.77321497832798869</v>
      </c>
      <c r="M402" s="282">
        <v>0.75257287638547432</v>
      </c>
      <c r="N402" s="282">
        <v>0.85208316580445131</v>
      </c>
      <c r="O402" s="281">
        <v>0.77109087696339662</v>
      </c>
      <c r="P402" s="281">
        <v>0</v>
      </c>
      <c r="Q402" s="282">
        <v>0</v>
      </c>
      <c r="R402" s="284">
        <v>0</v>
      </c>
      <c r="S402"/>
      <c r="T402"/>
      <c r="U402"/>
      <c r="V402"/>
    </row>
    <row r="403" spans="1:22">
      <c r="A403" s="285"/>
      <c r="B403" s="286" t="s">
        <v>570</v>
      </c>
      <c r="C403" s="287">
        <v>0.94047408375005248</v>
      </c>
      <c r="D403" s="288">
        <v>0</v>
      </c>
      <c r="E403" s="288">
        <v>0.99714630816450134</v>
      </c>
      <c r="F403" s="288">
        <v>0.99469001816572733</v>
      </c>
      <c r="G403" s="288">
        <v>0.97178033025409749</v>
      </c>
      <c r="H403" s="288">
        <v>0.87729511743618738</v>
      </c>
      <c r="I403" s="288">
        <v>0</v>
      </c>
      <c r="J403" s="289">
        <v>0.94904716340502193</v>
      </c>
      <c r="K403" s="287">
        <v>0</v>
      </c>
      <c r="L403" s="288">
        <v>0.73570283108029833</v>
      </c>
      <c r="M403" s="288">
        <v>0.72834407718152949</v>
      </c>
      <c r="N403" s="288">
        <v>0.84371820093616445</v>
      </c>
      <c r="O403" s="287">
        <v>0.7428926623526888</v>
      </c>
      <c r="P403" s="287">
        <v>0</v>
      </c>
      <c r="Q403" s="288">
        <v>0</v>
      </c>
      <c r="R403" s="290">
        <v>0</v>
      </c>
      <c r="S403"/>
      <c r="T403"/>
      <c r="U403"/>
      <c r="V403"/>
    </row>
    <row r="404" spans="1:22">
      <c r="A404" s="285"/>
      <c r="B404" s="595" t="s">
        <v>571</v>
      </c>
      <c r="C404" s="596">
        <v>-0.86663390485797187</v>
      </c>
      <c r="D404" s="597">
        <v>0</v>
      </c>
      <c r="E404" s="597">
        <v>9.0806654422204147E-2</v>
      </c>
      <c r="F404" s="597">
        <v>-0.17562450261744411</v>
      </c>
      <c r="G404" s="597">
        <v>-0.29559469510207492</v>
      </c>
      <c r="H404" s="597">
        <v>-1.5581420511036281</v>
      </c>
      <c r="I404" s="597">
        <v>0</v>
      </c>
      <c r="J404" s="598">
        <v>-0.70263880549163993</v>
      </c>
      <c r="K404" s="596">
        <v>0</v>
      </c>
      <c r="L404" s="597">
        <v>-3.7512147247690364</v>
      </c>
      <c r="M404" s="597">
        <v>-2.4228799203944829</v>
      </c>
      <c r="N404" s="597">
        <v>-0.83649648682868616</v>
      </c>
      <c r="O404" s="596">
        <v>-2.8198214610707817</v>
      </c>
      <c r="P404" s="599">
        <v>0</v>
      </c>
      <c r="Q404" s="597">
        <v>0</v>
      </c>
      <c r="R404" s="600">
        <v>0</v>
      </c>
      <c r="S404"/>
      <c r="T404"/>
      <c r="U404"/>
      <c r="V404"/>
    </row>
    <row r="405" spans="1:22">
      <c r="A405" s="285"/>
      <c r="B405" s="264" t="s">
        <v>572</v>
      </c>
      <c r="C405" s="281">
        <v>1.6909111518334498E-2</v>
      </c>
      <c r="D405" s="282">
        <v>0</v>
      </c>
      <c r="E405" s="282">
        <v>3.7617583797206608E-3</v>
      </c>
      <c r="F405" s="282">
        <v>2.2614688778806805E-3</v>
      </c>
      <c r="G405" s="282">
        <v>3.7338463392615536E-3</v>
      </c>
      <c r="H405" s="282">
        <v>6.1269715213341819E-2</v>
      </c>
      <c r="I405" s="282">
        <v>0</v>
      </c>
      <c r="J405" s="283">
        <v>1.7960348714164232E-2</v>
      </c>
      <c r="K405" s="281">
        <v>0</v>
      </c>
      <c r="L405" s="282">
        <v>4.4696915917945744E-2</v>
      </c>
      <c r="M405" s="282">
        <v>7.1291348734675755E-2</v>
      </c>
      <c r="N405" s="282">
        <v>3.4528819435137283E-2</v>
      </c>
      <c r="O405" s="281">
        <v>5.6386090632030879E-2</v>
      </c>
      <c r="P405" s="281">
        <v>0</v>
      </c>
      <c r="Q405" s="282">
        <v>0</v>
      </c>
      <c r="R405" s="284">
        <v>0</v>
      </c>
      <c r="S405"/>
      <c r="T405"/>
      <c r="U405"/>
      <c r="V405"/>
    </row>
    <row r="406" spans="1:22">
      <c r="A406" s="285"/>
      <c r="B406" s="286" t="s">
        <v>573</v>
      </c>
      <c r="C406" s="287">
        <v>2.0681187526339507E-2</v>
      </c>
      <c r="D406" s="288">
        <v>0</v>
      </c>
      <c r="E406" s="288">
        <v>2.1419797230481808E-3</v>
      </c>
      <c r="F406" s="288">
        <v>2.7597931901811915E-3</v>
      </c>
      <c r="G406" s="288">
        <v>5.8705490095234325E-3</v>
      </c>
      <c r="H406" s="288">
        <v>6.3887940342499741E-2</v>
      </c>
      <c r="I406" s="288">
        <v>0</v>
      </c>
      <c r="J406" s="289">
        <v>2.036177279749217E-2</v>
      </c>
      <c r="K406" s="287">
        <v>0</v>
      </c>
      <c r="L406" s="288">
        <v>4.6694837226602275E-2</v>
      </c>
      <c r="M406" s="288">
        <v>6.59636282564659E-2</v>
      </c>
      <c r="N406" s="288">
        <v>2.7843260294416933E-2</v>
      </c>
      <c r="O406" s="287">
        <v>5.4160353631325493E-2</v>
      </c>
      <c r="P406" s="287">
        <v>0</v>
      </c>
      <c r="Q406" s="288">
        <v>0</v>
      </c>
      <c r="R406" s="290">
        <v>0</v>
      </c>
      <c r="S406"/>
      <c r="T406"/>
      <c r="U406"/>
      <c r="V406"/>
    </row>
    <row r="407" spans="1:22">
      <c r="A407" s="285"/>
      <c r="B407" s="595" t="s">
        <v>574</v>
      </c>
      <c r="C407" s="596">
        <v>0.37720760080050092</v>
      </c>
      <c r="D407" s="597">
        <v>0</v>
      </c>
      <c r="E407" s="597">
        <v>-0.16197786566724801</v>
      </c>
      <c r="F407" s="597">
        <v>4.9832431230051107E-2</v>
      </c>
      <c r="G407" s="597">
        <v>0.21367026702618788</v>
      </c>
      <c r="H407" s="597">
        <v>0.26182251291579223</v>
      </c>
      <c r="I407" s="597">
        <v>0</v>
      </c>
      <c r="J407" s="598">
        <v>0.24014240833279377</v>
      </c>
      <c r="K407" s="596">
        <v>0</v>
      </c>
      <c r="L407" s="597">
        <v>0.19979213086565306</v>
      </c>
      <c r="M407" s="597">
        <v>-0.53277204782098542</v>
      </c>
      <c r="N407" s="597">
        <v>-0.66855591407203496</v>
      </c>
      <c r="O407" s="596">
        <v>-0.22257370007053856</v>
      </c>
      <c r="P407" s="599">
        <v>0</v>
      </c>
      <c r="Q407" s="597">
        <v>0</v>
      </c>
      <c r="R407" s="600">
        <v>0</v>
      </c>
      <c r="S407"/>
      <c r="T407"/>
      <c r="U407"/>
      <c r="V407"/>
    </row>
    <row r="408" spans="1:22">
      <c r="A408" s="285"/>
      <c r="B408" s="264" t="s">
        <v>575</v>
      </c>
      <c r="C408" s="281">
        <v>2.8458617497591293E-2</v>
      </c>
      <c r="D408" s="282">
        <v>0</v>
      </c>
      <c r="E408" s="282">
        <v>0</v>
      </c>
      <c r="F408" s="282">
        <v>1.2922679302175318E-3</v>
      </c>
      <c r="G408" s="282">
        <v>2.1529876455620212E-2</v>
      </c>
      <c r="H408" s="282">
        <v>4.372529211508254E-2</v>
      </c>
      <c r="I408" s="282">
        <v>0</v>
      </c>
      <c r="J408" s="283">
        <v>2.3191061177663123E-2</v>
      </c>
      <c r="K408" s="281">
        <v>0</v>
      </c>
      <c r="L408" s="282">
        <v>0.17821152664993811</v>
      </c>
      <c r="M408" s="282">
        <v>0.14703198775619869</v>
      </c>
      <c r="N408" s="282">
        <v>8.3067520840592921E-2</v>
      </c>
      <c r="O408" s="281">
        <v>0.15402494112871903</v>
      </c>
      <c r="P408" s="281">
        <v>0</v>
      </c>
      <c r="Q408" s="282">
        <v>0</v>
      </c>
      <c r="R408" s="284">
        <v>0</v>
      </c>
      <c r="S408"/>
      <c r="T408"/>
      <c r="U408"/>
      <c r="V408"/>
    </row>
    <row r="409" spans="1:22">
      <c r="A409" s="285"/>
      <c r="B409" s="286" t="s">
        <v>576</v>
      </c>
      <c r="C409" s="287">
        <v>3.4656861224780205E-2</v>
      </c>
      <c r="D409" s="288">
        <v>0</v>
      </c>
      <c r="E409" s="288">
        <v>7.1171211245051372E-4</v>
      </c>
      <c r="F409" s="288">
        <v>2.5501886440914808E-3</v>
      </c>
      <c r="G409" s="288">
        <v>2.171393216889422E-2</v>
      </c>
      <c r="H409" s="288">
        <v>5.7934909287474995E-2</v>
      </c>
      <c r="I409" s="288">
        <v>0</v>
      </c>
      <c r="J409" s="289">
        <v>2.8457847540072176E-2</v>
      </c>
      <c r="K409" s="287">
        <v>0</v>
      </c>
      <c r="L409" s="288">
        <v>0.21635233931500417</v>
      </c>
      <c r="M409" s="288">
        <v>0.17904313853903406</v>
      </c>
      <c r="N409" s="288">
        <v>9.5999253781968663E-2</v>
      </c>
      <c r="O409" s="287">
        <v>0.18627508111933705</v>
      </c>
      <c r="P409" s="287">
        <v>0</v>
      </c>
      <c r="Q409" s="288">
        <v>0</v>
      </c>
      <c r="R409" s="290">
        <v>0</v>
      </c>
      <c r="S409"/>
      <c r="T409"/>
      <c r="U409"/>
      <c r="V409"/>
    </row>
    <row r="410" spans="1:22">
      <c r="A410" s="285"/>
      <c r="B410" s="595" t="s">
        <v>577</v>
      </c>
      <c r="C410" s="596">
        <v>0.61982437271889124</v>
      </c>
      <c r="D410" s="597">
        <v>0</v>
      </c>
      <c r="E410" s="597">
        <v>0</v>
      </c>
      <c r="F410" s="597">
        <v>0.1257920713873949</v>
      </c>
      <c r="G410" s="597">
        <v>1.8405571327400824E-2</v>
      </c>
      <c r="H410" s="597">
        <v>1.4209617172392455</v>
      </c>
      <c r="I410" s="597">
        <v>0</v>
      </c>
      <c r="J410" s="598">
        <v>0.52667863624090527</v>
      </c>
      <c r="K410" s="596">
        <v>0</v>
      </c>
      <c r="L410" s="597">
        <v>3.8140812665066055</v>
      </c>
      <c r="M410" s="597">
        <v>3.2011150782835367</v>
      </c>
      <c r="N410" s="597">
        <v>1.2931732941375742</v>
      </c>
      <c r="O410" s="596">
        <v>3.2250139990618014</v>
      </c>
      <c r="P410" s="599">
        <v>0</v>
      </c>
      <c r="Q410" s="597">
        <v>0</v>
      </c>
      <c r="R410" s="600">
        <v>0</v>
      </c>
      <c r="S410"/>
      <c r="T410"/>
      <c r="U410"/>
      <c r="V410"/>
    </row>
    <row r="411" spans="1:22">
      <c r="A411" s="285"/>
      <c r="B411" s="264" t="s">
        <v>578</v>
      </c>
      <c r="C411" s="281">
        <v>2.2651276141537413E-3</v>
      </c>
      <c r="D411" s="282">
        <v>0</v>
      </c>
      <c r="E411" s="282">
        <v>0</v>
      </c>
      <c r="F411" s="282">
        <v>0</v>
      </c>
      <c r="G411" s="282">
        <v>0</v>
      </c>
      <c r="H411" s="282">
        <v>1.2437883574402484E-3</v>
      </c>
      <c r="I411" s="282">
        <v>0</v>
      </c>
      <c r="J411" s="283">
        <v>1.1977241544572177E-3</v>
      </c>
      <c r="K411" s="281">
        <v>0</v>
      </c>
      <c r="L411" s="282">
        <v>2.5957030466331479E-3</v>
      </c>
      <c r="M411" s="282">
        <v>2.841878715574625E-2</v>
      </c>
      <c r="N411" s="282">
        <v>2.1220325050705407E-2</v>
      </c>
      <c r="O411" s="281">
        <v>1.6735889262508179E-2</v>
      </c>
      <c r="P411" s="281">
        <v>0</v>
      </c>
      <c r="Q411" s="282">
        <v>0</v>
      </c>
      <c r="R411" s="284">
        <v>0</v>
      </c>
      <c r="S411"/>
      <c r="T411"/>
      <c r="U411"/>
      <c r="V411"/>
    </row>
    <row r="412" spans="1:22">
      <c r="A412" s="285"/>
      <c r="B412" s="286" t="s">
        <v>579</v>
      </c>
      <c r="C412" s="287">
        <v>3.1981405904792834E-3</v>
      </c>
      <c r="D412" s="288">
        <v>0</v>
      </c>
      <c r="E412" s="288">
        <v>0</v>
      </c>
      <c r="F412" s="288">
        <v>0</v>
      </c>
      <c r="G412" s="288">
        <v>0</v>
      </c>
      <c r="H412" s="288">
        <v>4.1751402197340353E-4</v>
      </c>
      <c r="I412" s="288">
        <v>0</v>
      </c>
      <c r="J412" s="289">
        <v>1.5005139167844606E-3</v>
      </c>
      <c r="K412" s="287">
        <v>0</v>
      </c>
      <c r="L412" s="288">
        <v>6.7072761751452734E-4</v>
      </c>
      <c r="M412" s="288">
        <v>2.6318218791312725E-2</v>
      </c>
      <c r="N412" s="288">
        <v>3.2439284987449968E-2</v>
      </c>
      <c r="O412" s="287">
        <v>1.6270740115771357E-2</v>
      </c>
      <c r="P412" s="287">
        <v>0</v>
      </c>
      <c r="Q412" s="288">
        <v>0</v>
      </c>
      <c r="R412" s="290">
        <v>0</v>
      </c>
      <c r="S412"/>
      <c r="T412"/>
      <c r="U412"/>
      <c r="V412"/>
    </row>
    <row r="413" spans="1:22">
      <c r="A413" s="285"/>
      <c r="B413" s="595" t="s">
        <v>580</v>
      </c>
      <c r="C413" s="596">
        <v>9.3301297632554209E-2</v>
      </c>
      <c r="D413" s="597">
        <v>0</v>
      </c>
      <c r="E413" s="597">
        <v>0</v>
      </c>
      <c r="F413" s="597">
        <v>0</v>
      </c>
      <c r="G413" s="597">
        <v>0</v>
      </c>
      <c r="H413" s="597">
        <v>-8.2627433546684489E-2</v>
      </c>
      <c r="I413" s="597">
        <v>0</v>
      </c>
      <c r="J413" s="598">
        <v>3.027897623272429E-2</v>
      </c>
      <c r="K413" s="596">
        <v>0</v>
      </c>
      <c r="L413" s="597">
        <v>-0.19249754291186205</v>
      </c>
      <c r="M413" s="597">
        <v>-0.21005683644335255</v>
      </c>
      <c r="N413" s="597">
        <v>1.1218959936744561</v>
      </c>
      <c r="O413" s="596">
        <v>-4.6514914673682212E-2</v>
      </c>
      <c r="P413" s="599">
        <v>0</v>
      </c>
      <c r="Q413" s="597">
        <v>0</v>
      </c>
      <c r="R413" s="600">
        <v>0</v>
      </c>
      <c r="S413"/>
      <c r="T413"/>
      <c r="U413"/>
      <c r="V413"/>
    </row>
    <row r="414" spans="1:22">
      <c r="A414" s="285"/>
      <c r="B414" s="264" t="s">
        <v>581</v>
      </c>
      <c r="C414" s="281">
        <v>3.2267205712882322E-3</v>
      </c>
      <c r="D414" s="282">
        <v>0</v>
      </c>
      <c r="E414" s="282">
        <v>0</v>
      </c>
      <c r="F414" s="282">
        <v>0</v>
      </c>
      <c r="G414" s="282">
        <v>0</v>
      </c>
      <c r="H414" s="282">
        <v>8.8466636691172603E-4</v>
      </c>
      <c r="I414" s="282">
        <v>0</v>
      </c>
      <c r="J414" s="283">
        <v>1.5773144937770512E-3</v>
      </c>
      <c r="K414" s="281">
        <v>0</v>
      </c>
      <c r="L414" s="282">
        <v>1.2808760574943596E-3</v>
      </c>
      <c r="M414" s="282">
        <v>6.8499996790495469E-4</v>
      </c>
      <c r="N414" s="282">
        <v>9.1001688691130355E-3</v>
      </c>
      <c r="O414" s="281">
        <v>1.7622020133453234E-3</v>
      </c>
      <c r="P414" s="281">
        <v>0</v>
      </c>
      <c r="Q414" s="282">
        <v>0</v>
      </c>
      <c r="R414" s="284">
        <v>0</v>
      </c>
      <c r="S414"/>
      <c r="T414"/>
      <c r="U414"/>
      <c r="V414"/>
    </row>
    <row r="415" spans="1:22">
      <c r="A415" s="285"/>
      <c r="B415" s="286" t="s">
        <v>582</v>
      </c>
      <c r="C415" s="287">
        <v>9.8972690834855177E-4</v>
      </c>
      <c r="D415" s="288">
        <v>0</v>
      </c>
      <c r="E415" s="288">
        <v>0</v>
      </c>
      <c r="F415" s="288">
        <v>0</v>
      </c>
      <c r="G415" s="288">
        <v>6.35188567484939E-4</v>
      </c>
      <c r="H415" s="288">
        <v>4.6451891186444894E-4</v>
      </c>
      <c r="I415" s="288">
        <v>0</v>
      </c>
      <c r="J415" s="289">
        <v>6.3270234062937883E-4</v>
      </c>
      <c r="K415" s="287">
        <v>0</v>
      </c>
      <c r="L415" s="288">
        <v>5.7926476058072819E-4</v>
      </c>
      <c r="M415" s="288">
        <v>3.3093723165780395E-4</v>
      </c>
      <c r="N415" s="288">
        <v>0</v>
      </c>
      <c r="O415" s="287">
        <v>4.0116278087728812E-4</v>
      </c>
      <c r="P415" s="287">
        <v>0</v>
      </c>
      <c r="Q415" s="288">
        <v>0</v>
      </c>
      <c r="R415" s="290">
        <v>0</v>
      </c>
      <c r="S415"/>
      <c r="T415"/>
      <c r="U415"/>
      <c r="V415"/>
    </row>
    <row r="416" spans="1:22">
      <c r="A416" s="285"/>
      <c r="B416" s="595" t="s">
        <v>583</v>
      </c>
      <c r="C416" s="596">
        <v>-0.22369936629396803</v>
      </c>
      <c r="D416" s="597">
        <v>0</v>
      </c>
      <c r="E416" s="597">
        <v>0</v>
      </c>
      <c r="F416" s="597">
        <v>0</v>
      </c>
      <c r="G416" s="597">
        <v>0</v>
      </c>
      <c r="H416" s="597">
        <v>-4.201474550472771E-2</v>
      </c>
      <c r="I416" s="597">
        <v>0</v>
      </c>
      <c r="J416" s="598">
        <v>-9.4461215314767227E-2</v>
      </c>
      <c r="K416" s="596">
        <v>0</v>
      </c>
      <c r="L416" s="597">
        <v>-7.0161129691363136E-2</v>
      </c>
      <c r="M416" s="597">
        <v>-3.5406273624715073E-2</v>
      </c>
      <c r="N416" s="597">
        <v>-0.91001688691130356</v>
      </c>
      <c r="O416" s="596">
        <v>-0.13610392324680354</v>
      </c>
      <c r="P416" s="599">
        <v>0</v>
      </c>
      <c r="Q416" s="597">
        <v>0</v>
      </c>
      <c r="R416" s="600">
        <v>0</v>
      </c>
      <c r="S416"/>
      <c r="T416"/>
      <c r="U416"/>
      <c r="V416"/>
    </row>
    <row r="417" spans="1:22">
      <c r="A417" s="285"/>
      <c r="B417" s="264" t="s">
        <v>584</v>
      </c>
      <c r="C417" s="281">
        <v>0</v>
      </c>
      <c r="D417" s="282">
        <v>0</v>
      </c>
      <c r="E417" s="282">
        <v>0</v>
      </c>
      <c r="F417" s="282">
        <v>0</v>
      </c>
      <c r="G417" s="282">
        <v>0</v>
      </c>
      <c r="H417" s="282">
        <v>0</v>
      </c>
      <c r="I417" s="282">
        <v>0</v>
      </c>
      <c r="J417" s="283">
        <v>0</v>
      </c>
      <c r="K417" s="281">
        <v>0</v>
      </c>
      <c r="L417" s="282">
        <v>0</v>
      </c>
      <c r="M417" s="282">
        <v>0</v>
      </c>
      <c r="N417" s="282">
        <v>0</v>
      </c>
      <c r="O417" s="281">
        <v>0</v>
      </c>
      <c r="P417" s="281">
        <v>0</v>
      </c>
      <c r="Q417" s="282">
        <v>0</v>
      </c>
      <c r="R417" s="284">
        <v>0</v>
      </c>
      <c r="S417"/>
      <c r="T417"/>
      <c r="U417"/>
      <c r="V417"/>
    </row>
    <row r="418" spans="1:22">
      <c r="A418" s="285"/>
      <c r="B418" s="286" t="s">
        <v>585</v>
      </c>
      <c r="C418" s="287">
        <v>0</v>
      </c>
      <c r="D418" s="288">
        <v>0</v>
      </c>
      <c r="E418" s="288">
        <v>0</v>
      </c>
      <c r="F418" s="288">
        <v>0</v>
      </c>
      <c r="G418" s="288">
        <v>0</v>
      </c>
      <c r="H418" s="288">
        <v>0</v>
      </c>
      <c r="I418" s="288">
        <v>0</v>
      </c>
      <c r="J418" s="289">
        <v>0</v>
      </c>
      <c r="K418" s="287">
        <v>0</v>
      </c>
      <c r="L418" s="288">
        <v>0</v>
      </c>
      <c r="M418" s="288">
        <v>0</v>
      </c>
      <c r="N418" s="288">
        <v>0</v>
      </c>
      <c r="O418" s="287">
        <v>0</v>
      </c>
      <c r="P418" s="287">
        <v>0</v>
      </c>
      <c r="Q418" s="288">
        <v>0</v>
      </c>
      <c r="R418" s="290">
        <v>0</v>
      </c>
      <c r="S418"/>
      <c r="T418"/>
      <c r="U418"/>
      <c r="V418"/>
    </row>
    <row r="419" spans="1:22">
      <c r="A419" s="285"/>
      <c r="B419" s="595" t="s">
        <v>586</v>
      </c>
      <c r="C419" s="596">
        <v>0</v>
      </c>
      <c r="D419" s="597">
        <v>0</v>
      </c>
      <c r="E419" s="597">
        <v>0</v>
      </c>
      <c r="F419" s="597">
        <v>0</v>
      </c>
      <c r="G419" s="597">
        <v>0</v>
      </c>
      <c r="H419" s="597">
        <v>0</v>
      </c>
      <c r="I419" s="597">
        <v>0</v>
      </c>
      <c r="J419" s="598">
        <v>0</v>
      </c>
      <c r="K419" s="596">
        <v>0</v>
      </c>
      <c r="L419" s="597">
        <v>0</v>
      </c>
      <c r="M419" s="597">
        <v>0</v>
      </c>
      <c r="N419" s="597">
        <v>0</v>
      </c>
      <c r="O419" s="596">
        <v>0</v>
      </c>
      <c r="P419" s="599">
        <v>0</v>
      </c>
      <c r="Q419" s="597">
        <v>0</v>
      </c>
      <c r="R419" s="600">
        <v>0</v>
      </c>
      <c r="S419"/>
      <c r="T419"/>
      <c r="U419"/>
      <c r="V419"/>
    </row>
    <row r="420" spans="1:22">
      <c r="A420" s="285"/>
      <c r="B420" s="264" t="s">
        <v>587</v>
      </c>
      <c r="C420" s="281">
        <v>0.6977380467131602</v>
      </c>
      <c r="D420" s="282">
        <v>0</v>
      </c>
      <c r="E420" s="282">
        <v>0.75417890374111385</v>
      </c>
      <c r="F420" s="282">
        <v>0.89993585631815265</v>
      </c>
      <c r="G420" s="282">
        <v>0.64858900912370043</v>
      </c>
      <c r="H420" s="282">
        <v>0.56635761589403977</v>
      </c>
      <c r="I420" s="282">
        <v>0</v>
      </c>
      <c r="J420" s="283">
        <v>0.71149054384498711</v>
      </c>
      <c r="K420" s="281">
        <v>0</v>
      </c>
      <c r="L420" s="282">
        <v>0</v>
      </c>
      <c r="M420" s="282">
        <v>0</v>
      </c>
      <c r="N420" s="282">
        <v>0</v>
      </c>
      <c r="O420" s="281">
        <v>0</v>
      </c>
      <c r="P420" s="281">
        <v>0</v>
      </c>
      <c r="Q420" s="282">
        <v>0</v>
      </c>
      <c r="R420" s="284">
        <v>0</v>
      </c>
      <c r="S420"/>
      <c r="T420"/>
      <c r="U420"/>
      <c r="V420"/>
    </row>
    <row r="421" spans="1:22">
      <c r="A421" s="285"/>
      <c r="B421" s="286" t="s">
        <v>588</v>
      </c>
      <c r="C421" s="287">
        <v>0.69357702733939941</v>
      </c>
      <c r="D421" s="288">
        <v>0</v>
      </c>
      <c r="E421" s="288">
        <v>0.79569626514964131</v>
      </c>
      <c r="F421" s="288">
        <v>0.9473616307573216</v>
      </c>
      <c r="G421" s="288">
        <v>0.7065990253255573</v>
      </c>
      <c r="H421" s="288">
        <v>0.48282920172845123</v>
      </c>
      <c r="I421" s="288">
        <v>0</v>
      </c>
      <c r="J421" s="289">
        <v>0.71952530294329842</v>
      </c>
      <c r="K421" s="287">
        <v>0</v>
      </c>
      <c r="L421" s="288">
        <v>0</v>
      </c>
      <c r="M421" s="288">
        <v>0</v>
      </c>
      <c r="N421" s="288">
        <v>0</v>
      </c>
      <c r="O421" s="287">
        <v>0</v>
      </c>
      <c r="P421" s="287">
        <v>0</v>
      </c>
      <c r="Q421" s="288">
        <v>0</v>
      </c>
      <c r="R421" s="290">
        <v>0</v>
      </c>
      <c r="S421"/>
      <c r="T421"/>
      <c r="U421"/>
      <c r="V421"/>
    </row>
    <row r="422" spans="1:22">
      <c r="A422" s="285"/>
      <c r="B422" s="595" t="s">
        <v>589</v>
      </c>
      <c r="C422" s="596">
        <v>-0.41610193737607881</v>
      </c>
      <c r="D422" s="597">
        <v>0</v>
      </c>
      <c r="E422" s="597">
        <v>4.151736140852746</v>
      </c>
      <c r="F422" s="597">
        <v>4.7425774439168951</v>
      </c>
      <c r="G422" s="597">
        <v>5.8010016201856862</v>
      </c>
      <c r="H422" s="597">
        <v>-8.3528414165588529</v>
      </c>
      <c r="I422" s="597">
        <v>0</v>
      </c>
      <c r="J422" s="598">
        <v>0.8034759098311306</v>
      </c>
      <c r="K422" s="596">
        <v>0</v>
      </c>
      <c r="L422" s="597">
        <v>0</v>
      </c>
      <c r="M422" s="597">
        <v>0</v>
      </c>
      <c r="N422" s="597">
        <v>0</v>
      </c>
      <c r="O422" s="596">
        <v>0</v>
      </c>
      <c r="P422" s="599">
        <v>0</v>
      </c>
      <c r="Q422" s="597">
        <v>0</v>
      </c>
      <c r="R422" s="600">
        <v>0</v>
      </c>
      <c r="S422"/>
      <c r="T422"/>
      <c r="U422"/>
      <c r="V422"/>
    </row>
    <row r="423" spans="1:22">
      <c r="A423" s="285"/>
      <c r="B423" s="264" t="s">
        <v>590</v>
      </c>
      <c r="C423" s="281">
        <v>0.11113778874662884</v>
      </c>
      <c r="D423" s="282">
        <v>0</v>
      </c>
      <c r="E423" s="282">
        <v>0.24326846540224523</v>
      </c>
      <c r="F423" s="282">
        <v>6.2924951892238609E-2</v>
      </c>
      <c r="G423" s="282">
        <v>0.14148100997241672</v>
      </c>
      <c r="H423" s="282">
        <v>0.17854304635761589</v>
      </c>
      <c r="I423" s="282">
        <v>0</v>
      </c>
      <c r="J423" s="283">
        <v>0.13060637013650292</v>
      </c>
      <c r="K423" s="281">
        <v>0</v>
      </c>
      <c r="L423" s="282">
        <v>0</v>
      </c>
      <c r="M423" s="282">
        <v>0</v>
      </c>
      <c r="N423" s="282">
        <v>0</v>
      </c>
      <c r="O423" s="281">
        <v>0</v>
      </c>
      <c r="P423" s="281">
        <v>0</v>
      </c>
      <c r="Q423" s="282">
        <v>0</v>
      </c>
      <c r="R423" s="284">
        <v>0</v>
      </c>
      <c r="S423"/>
      <c r="T423"/>
      <c r="U423"/>
      <c r="V423"/>
    </row>
    <row r="424" spans="1:22">
      <c r="A424" s="285"/>
      <c r="B424" s="286" t="s">
        <v>591</v>
      </c>
      <c r="C424" s="287">
        <v>0.10867989156702461</v>
      </c>
      <c r="D424" s="288">
        <v>0</v>
      </c>
      <c r="E424" s="288">
        <v>0.1908099046362712</v>
      </c>
      <c r="F424" s="288">
        <v>3.7350019352341633E-2</v>
      </c>
      <c r="G424" s="288">
        <v>0.17128704961252697</v>
      </c>
      <c r="H424" s="288">
        <v>0.18558107800773255</v>
      </c>
      <c r="I424" s="288">
        <v>0</v>
      </c>
      <c r="J424" s="289">
        <v>0.12262393804202187</v>
      </c>
      <c r="K424" s="287">
        <v>0</v>
      </c>
      <c r="L424" s="288">
        <v>0</v>
      </c>
      <c r="M424" s="288">
        <v>0</v>
      </c>
      <c r="N424" s="288">
        <v>0</v>
      </c>
      <c r="O424" s="287">
        <v>0</v>
      </c>
      <c r="P424" s="287">
        <v>0</v>
      </c>
      <c r="Q424" s="288">
        <v>0</v>
      </c>
      <c r="R424" s="290">
        <v>0</v>
      </c>
      <c r="S424"/>
      <c r="T424"/>
      <c r="U424"/>
      <c r="V424"/>
    </row>
    <row r="425" spans="1:22">
      <c r="A425" s="285"/>
      <c r="B425" s="595" t="s">
        <v>592</v>
      </c>
      <c r="C425" s="596">
        <v>-0.24578971796042348</v>
      </c>
      <c r="D425" s="597">
        <v>0</v>
      </c>
      <c r="E425" s="597">
        <v>-5.2458560765974021</v>
      </c>
      <c r="F425" s="597">
        <v>-2.5574932539896977</v>
      </c>
      <c r="G425" s="597">
        <v>2.9806039640110251</v>
      </c>
      <c r="H425" s="597">
        <v>0.70380316501166551</v>
      </c>
      <c r="I425" s="597">
        <v>0</v>
      </c>
      <c r="J425" s="598">
        <v>-0.79824320944810456</v>
      </c>
      <c r="K425" s="596">
        <v>0</v>
      </c>
      <c r="L425" s="597">
        <v>0</v>
      </c>
      <c r="M425" s="597">
        <v>0</v>
      </c>
      <c r="N425" s="597">
        <v>0</v>
      </c>
      <c r="O425" s="596">
        <v>0</v>
      </c>
      <c r="P425" s="599">
        <v>0</v>
      </c>
      <c r="Q425" s="597">
        <v>0</v>
      </c>
      <c r="R425" s="600">
        <v>0</v>
      </c>
      <c r="S425"/>
      <c r="T425"/>
      <c r="U425"/>
      <c r="V425"/>
    </row>
    <row r="426" spans="1:22">
      <c r="A426" s="285"/>
      <c r="B426" s="264" t="s">
        <v>593</v>
      </c>
      <c r="C426" s="281">
        <v>0.14907338645284851</v>
      </c>
      <c r="D426" s="282">
        <v>0</v>
      </c>
      <c r="E426" s="282">
        <v>2.5526308566409576E-3</v>
      </c>
      <c r="F426" s="282">
        <v>3.7139191789608721E-2</v>
      </c>
      <c r="G426" s="282">
        <v>0.20992998090388287</v>
      </c>
      <c r="H426" s="282">
        <v>0.24317880794701988</v>
      </c>
      <c r="I426" s="282">
        <v>0</v>
      </c>
      <c r="J426" s="283">
        <v>0.12859055313090043</v>
      </c>
      <c r="K426" s="281">
        <v>0</v>
      </c>
      <c r="L426" s="282">
        <v>0</v>
      </c>
      <c r="M426" s="282">
        <v>0</v>
      </c>
      <c r="N426" s="282">
        <v>0</v>
      </c>
      <c r="O426" s="281">
        <v>0</v>
      </c>
      <c r="P426" s="281">
        <v>0</v>
      </c>
      <c r="Q426" s="282">
        <v>0</v>
      </c>
      <c r="R426" s="284">
        <v>0</v>
      </c>
      <c r="S426"/>
      <c r="T426"/>
      <c r="U426"/>
      <c r="V426"/>
    </row>
    <row r="427" spans="1:22">
      <c r="A427" s="285"/>
      <c r="B427" s="286" t="s">
        <v>594</v>
      </c>
      <c r="C427" s="287">
        <v>0.18342194296761721</v>
      </c>
      <c r="D427" s="288">
        <v>0</v>
      </c>
      <c r="E427" s="288">
        <v>9.7012669359936247E-3</v>
      </c>
      <c r="F427" s="288">
        <v>1.5288349890336731E-2</v>
      </c>
      <c r="G427" s="288">
        <v>0.12211392506191579</v>
      </c>
      <c r="H427" s="288">
        <v>0.31726176938821926</v>
      </c>
      <c r="I427" s="288">
        <v>0</v>
      </c>
      <c r="J427" s="289">
        <v>0.14707657876525759</v>
      </c>
      <c r="K427" s="287">
        <v>0</v>
      </c>
      <c r="L427" s="288">
        <v>0</v>
      </c>
      <c r="M427" s="288">
        <v>0</v>
      </c>
      <c r="N427" s="288">
        <v>0</v>
      </c>
      <c r="O427" s="287">
        <v>0</v>
      </c>
      <c r="P427" s="287">
        <v>0</v>
      </c>
      <c r="Q427" s="288">
        <v>0</v>
      </c>
      <c r="R427" s="290">
        <v>0</v>
      </c>
      <c r="S427"/>
      <c r="T427"/>
      <c r="U427"/>
      <c r="V427"/>
    </row>
    <row r="428" spans="1:22">
      <c r="A428" s="285"/>
      <c r="B428" s="595" t="s">
        <v>595</v>
      </c>
      <c r="C428" s="596">
        <v>3.4348556514768704</v>
      </c>
      <c r="D428" s="597">
        <v>0</v>
      </c>
      <c r="E428" s="597">
        <v>0.71486360793526671</v>
      </c>
      <c r="F428" s="597">
        <v>-2.1850841899271991</v>
      </c>
      <c r="G428" s="597">
        <v>-8.7816055841967078</v>
      </c>
      <c r="H428" s="597">
        <v>7.4082961441199382</v>
      </c>
      <c r="I428" s="597">
        <v>0</v>
      </c>
      <c r="J428" s="598">
        <v>1.8486025634357168</v>
      </c>
      <c r="K428" s="596">
        <v>0</v>
      </c>
      <c r="L428" s="597">
        <v>0</v>
      </c>
      <c r="M428" s="597">
        <v>0</v>
      </c>
      <c r="N428" s="597">
        <v>0</v>
      </c>
      <c r="O428" s="596">
        <v>0</v>
      </c>
      <c r="P428" s="599">
        <v>0</v>
      </c>
      <c r="Q428" s="597">
        <v>0</v>
      </c>
      <c r="R428" s="600">
        <v>0</v>
      </c>
      <c r="S428"/>
      <c r="T428"/>
      <c r="U428"/>
      <c r="V428"/>
    </row>
    <row r="429" spans="1:22">
      <c r="A429" s="285"/>
      <c r="B429" s="264" t="s">
        <v>596</v>
      </c>
      <c r="C429" s="281">
        <v>0</v>
      </c>
      <c r="D429" s="282">
        <v>0</v>
      </c>
      <c r="E429" s="282">
        <v>0</v>
      </c>
      <c r="F429" s="282">
        <v>0</v>
      </c>
      <c r="G429" s="282">
        <v>0</v>
      </c>
      <c r="H429" s="282">
        <v>0</v>
      </c>
      <c r="I429" s="282">
        <v>0</v>
      </c>
      <c r="J429" s="283">
        <v>0</v>
      </c>
      <c r="K429" s="281">
        <v>0</v>
      </c>
      <c r="L429" s="282">
        <v>0</v>
      </c>
      <c r="M429" s="282">
        <v>0</v>
      </c>
      <c r="N429" s="282">
        <v>0</v>
      </c>
      <c r="O429" s="281">
        <v>0</v>
      </c>
      <c r="P429" s="281">
        <v>0</v>
      </c>
      <c r="Q429" s="282">
        <v>0</v>
      </c>
      <c r="R429" s="284">
        <v>0</v>
      </c>
      <c r="S429"/>
      <c r="T429"/>
      <c r="U429"/>
      <c r="V429"/>
    </row>
    <row r="430" spans="1:22">
      <c r="A430" s="285"/>
      <c r="B430" s="286" t="s">
        <v>597</v>
      </c>
      <c r="C430" s="287">
        <v>2.4901758883728751E-3</v>
      </c>
      <c r="D430" s="288">
        <v>0</v>
      </c>
      <c r="E430" s="288">
        <v>0</v>
      </c>
      <c r="F430" s="288">
        <v>0</v>
      </c>
      <c r="G430" s="288">
        <v>0</v>
      </c>
      <c r="H430" s="288">
        <v>2.0468501250852852E-3</v>
      </c>
      <c r="I430" s="288">
        <v>0</v>
      </c>
      <c r="J430" s="289">
        <v>1.7779053845134501E-3</v>
      </c>
      <c r="K430" s="287">
        <v>0</v>
      </c>
      <c r="L430" s="288">
        <v>0</v>
      </c>
      <c r="M430" s="288">
        <v>0</v>
      </c>
      <c r="N430" s="288">
        <v>0</v>
      </c>
      <c r="O430" s="287">
        <v>0</v>
      </c>
      <c r="P430" s="287">
        <v>0</v>
      </c>
      <c r="Q430" s="288">
        <v>0</v>
      </c>
      <c r="R430" s="290">
        <v>0</v>
      </c>
      <c r="S430"/>
      <c r="T430"/>
      <c r="U430"/>
      <c r="V430"/>
    </row>
    <row r="431" spans="1:22">
      <c r="A431" s="285"/>
      <c r="B431" s="595" t="s">
        <v>598</v>
      </c>
      <c r="C431" s="596">
        <v>0</v>
      </c>
      <c r="D431" s="597">
        <v>0</v>
      </c>
      <c r="E431" s="597">
        <v>0</v>
      </c>
      <c r="F431" s="597">
        <v>0</v>
      </c>
      <c r="G431" s="597">
        <v>0</v>
      </c>
      <c r="H431" s="597">
        <v>0</v>
      </c>
      <c r="I431" s="597">
        <v>0</v>
      </c>
      <c r="J431" s="598">
        <v>0</v>
      </c>
      <c r="K431" s="596">
        <v>0</v>
      </c>
      <c r="L431" s="597">
        <v>0</v>
      </c>
      <c r="M431" s="597">
        <v>0</v>
      </c>
      <c r="N431" s="597">
        <v>0</v>
      </c>
      <c r="O431" s="596">
        <v>0</v>
      </c>
      <c r="P431" s="599">
        <v>0</v>
      </c>
      <c r="Q431" s="597">
        <v>0</v>
      </c>
      <c r="R431" s="600">
        <v>0</v>
      </c>
      <c r="S431"/>
      <c r="T431"/>
      <c r="U431"/>
      <c r="V431"/>
    </row>
    <row r="432" spans="1:22">
      <c r="A432" s="285"/>
      <c r="B432" s="264" t="s">
        <v>599</v>
      </c>
      <c r="C432" s="281">
        <v>4.2050778087362434E-2</v>
      </c>
      <c r="D432" s="282">
        <v>0</v>
      </c>
      <c r="E432" s="282">
        <v>0</v>
      </c>
      <c r="F432" s="282">
        <v>0</v>
      </c>
      <c r="G432" s="282">
        <v>0</v>
      </c>
      <c r="H432" s="282">
        <v>1.1920529801324504E-2</v>
      </c>
      <c r="I432" s="282">
        <v>0</v>
      </c>
      <c r="J432" s="283">
        <v>2.9312532887609495E-2</v>
      </c>
      <c r="K432" s="281">
        <v>0</v>
      </c>
      <c r="L432" s="282">
        <v>0</v>
      </c>
      <c r="M432" s="282">
        <v>0</v>
      </c>
      <c r="N432" s="282">
        <v>0</v>
      </c>
      <c r="O432" s="281">
        <v>0</v>
      </c>
      <c r="P432" s="281">
        <v>0</v>
      </c>
      <c r="Q432" s="282">
        <v>0</v>
      </c>
      <c r="R432" s="284">
        <v>0</v>
      </c>
      <c r="S432"/>
      <c r="T432"/>
      <c r="U432"/>
      <c r="V432"/>
    </row>
    <row r="433" spans="1:22">
      <c r="A433" s="285"/>
      <c r="B433" s="286" t="s">
        <v>600</v>
      </c>
      <c r="C433" s="287">
        <v>1.1830962237585896E-2</v>
      </c>
      <c r="D433" s="288">
        <v>0</v>
      </c>
      <c r="E433" s="288">
        <v>3.7925632780938245E-3</v>
      </c>
      <c r="F433" s="288">
        <v>0</v>
      </c>
      <c r="G433" s="288">
        <v>0</v>
      </c>
      <c r="H433" s="288">
        <v>1.2281100750511713E-2</v>
      </c>
      <c r="I433" s="288">
        <v>0</v>
      </c>
      <c r="J433" s="289">
        <v>8.996274864908638E-3</v>
      </c>
      <c r="K433" s="287">
        <v>0</v>
      </c>
      <c r="L433" s="288">
        <v>0</v>
      </c>
      <c r="M433" s="288">
        <v>0</v>
      </c>
      <c r="N433" s="288">
        <v>0</v>
      </c>
      <c r="O433" s="287">
        <v>0</v>
      </c>
      <c r="P433" s="287">
        <v>0</v>
      </c>
      <c r="Q433" s="288">
        <v>0</v>
      </c>
      <c r="R433" s="290">
        <v>0</v>
      </c>
      <c r="S433"/>
      <c r="T433"/>
      <c r="U433"/>
      <c r="V433"/>
    </row>
    <row r="434" spans="1:22">
      <c r="A434" s="285"/>
      <c r="B434" s="595" t="s">
        <v>601</v>
      </c>
      <c r="C434" s="596">
        <v>-3.0219815849776537</v>
      </c>
      <c r="D434" s="597">
        <v>0</v>
      </c>
      <c r="E434" s="597">
        <v>0</v>
      </c>
      <c r="F434" s="597">
        <v>0</v>
      </c>
      <c r="G434" s="597">
        <v>0</v>
      </c>
      <c r="H434" s="597">
        <v>3.6057094918720903E-2</v>
      </c>
      <c r="I434" s="597">
        <v>0</v>
      </c>
      <c r="J434" s="598">
        <v>-2.0316258022700859</v>
      </c>
      <c r="K434" s="596">
        <v>0</v>
      </c>
      <c r="L434" s="597">
        <v>0</v>
      </c>
      <c r="M434" s="597">
        <v>0</v>
      </c>
      <c r="N434" s="597">
        <v>0</v>
      </c>
      <c r="O434" s="596">
        <v>0</v>
      </c>
      <c r="P434" s="599">
        <v>0</v>
      </c>
      <c r="Q434" s="597">
        <v>0</v>
      </c>
      <c r="R434" s="600">
        <v>0</v>
      </c>
      <c r="S434"/>
      <c r="T434"/>
      <c r="U434"/>
      <c r="V434"/>
    </row>
    <row r="435" spans="1:22">
      <c r="A435" s="285"/>
      <c r="B435" s="264" t="s">
        <v>602</v>
      </c>
      <c r="C435" s="281">
        <v>0</v>
      </c>
      <c r="D435" s="282">
        <v>0</v>
      </c>
      <c r="E435" s="282">
        <v>0</v>
      </c>
      <c r="F435" s="282">
        <v>0</v>
      </c>
      <c r="G435" s="282">
        <v>0</v>
      </c>
      <c r="H435" s="282">
        <v>0</v>
      </c>
      <c r="I435" s="282">
        <v>0</v>
      </c>
      <c r="J435" s="283">
        <v>0</v>
      </c>
      <c r="K435" s="281">
        <v>0</v>
      </c>
      <c r="L435" s="282">
        <v>0</v>
      </c>
      <c r="M435" s="282">
        <v>0</v>
      </c>
      <c r="N435" s="282">
        <v>0</v>
      </c>
      <c r="O435" s="281">
        <v>0</v>
      </c>
      <c r="P435" s="281">
        <v>0</v>
      </c>
      <c r="Q435" s="282">
        <v>0</v>
      </c>
      <c r="R435" s="284">
        <v>0</v>
      </c>
      <c r="S435"/>
      <c r="T435"/>
      <c r="U435"/>
      <c r="V435"/>
    </row>
    <row r="436" spans="1:22">
      <c r="A436" s="285"/>
      <c r="B436" s="286" t="s">
        <v>603</v>
      </c>
      <c r="C436" s="287">
        <v>0</v>
      </c>
      <c r="D436" s="288">
        <v>0</v>
      </c>
      <c r="E436" s="288">
        <v>0</v>
      </c>
      <c r="F436" s="288">
        <v>0</v>
      </c>
      <c r="G436" s="288">
        <v>0</v>
      </c>
      <c r="H436" s="288">
        <v>0</v>
      </c>
      <c r="I436" s="288">
        <v>0</v>
      </c>
      <c r="J436" s="289">
        <v>0</v>
      </c>
      <c r="K436" s="287">
        <v>0</v>
      </c>
      <c r="L436" s="288">
        <v>0</v>
      </c>
      <c r="M436" s="288">
        <v>0</v>
      </c>
      <c r="N436" s="288">
        <v>0</v>
      </c>
      <c r="O436" s="287">
        <v>0</v>
      </c>
      <c r="P436" s="287">
        <v>0</v>
      </c>
      <c r="Q436" s="288">
        <v>0</v>
      </c>
      <c r="R436" s="290">
        <v>0</v>
      </c>
      <c r="S436"/>
      <c r="T436"/>
      <c r="U436"/>
      <c r="V436"/>
    </row>
    <row r="437" spans="1:22">
      <c r="A437" s="292"/>
      <c r="B437" s="595" t="s">
        <v>604</v>
      </c>
      <c r="C437" s="596">
        <v>0</v>
      </c>
      <c r="D437" s="597">
        <v>0</v>
      </c>
      <c r="E437" s="597">
        <v>0</v>
      </c>
      <c r="F437" s="597">
        <v>0</v>
      </c>
      <c r="G437" s="597">
        <v>0</v>
      </c>
      <c r="H437" s="597">
        <v>0</v>
      </c>
      <c r="I437" s="597">
        <v>0</v>
      </c>
      <c r="J437" s="598">
        <v>0</v>
      </c>
      <c r="K437" s="596">
        <v>0</v>
      </c>
      <c r="L437" s="597">
        <v>0</v>
      </c>
      <c r="M437" s="597">
        <v>0</v>
      </c>
      <c r="N437" s="597">
        <v>0</v>
      </c>
      <c r="O437" s="596">
        <v>0</v>
      </c>
      <c r="P437" s="599">
        <v>0</v>
      </c>
      <c r="Q437" s="597">
        <v>0</v>
      </c>
      <c r="R437" s="600">
        <v>0</v>
      </c>
      <c r="S437"/>
      <c r="T437"/>
      <c r="U437"/>
      <c r="V437"/>
    </row>
    <row r="438" spans="1:22">
      <c r="A438" s="280" t="s">
        <v>387</v>
      </c>
      <c r="B438" s="264" t="s">
        <v>569</v>
      </c>
      <c r="C438" s="281">
        <v>0.85836984420411155</v>
      </c>
      <c r="D438" s="282">
        <v>0</v>
      </c>
      <c r="E438" s="282">
        <v>0.85165881279606603</v>
      </c>
      <c r="F438" s="282">
        <v>0</v>
      </c>
      <c r="G438" s="282">
        <v>0.93918357445534639</v>
      </c>
      <c r="H438" s="282">
        <v>0</v>
      </c>
      <c r="I438" s="282">
        <v>0</v>
      </c>
      <c r="J438" s="283">
        <v>0.85960811996477104</v>
      </c>
      <c r="K438" s="281">
        <v>0</v>
      </c>
      <c r="L438" s="282">
        <v>0.81520010408933319</v>
      </c>
      <c r="M438" s="282">
        <v>0.75309295305996882</v>
      </c>
      <c r="N438" s="282">
        <v>0.79541960022659219</v>
      </c>
      <c r="O438" s="281">
        <v>0.7768409904834801</v>
      </c>
      <c r="P438" s="281">
        <v>0</v>
      </c>
      <c r="Q438" s="282">
        <v>1</v>
      </c>
      <c r="R438" s="284">
        <v>1</v>
      </c>
      <c r="S438"/>
      <c r="T438"/>
      <c r="U438"/>
      <c r="V438"/>
    </row>
    <row r="439" spans="1:22">
      <c r="A439" s="285"/>
      <c r="B439" s="286" t="s">
        <v>570</v>
      </c>
      <c r="C439" s="287">
        <v>0.84754477355785729</v>
      </c>
      <c r="D439" s="288">
        <v>0</v>
      </c>
      <c r="E439" s="288">
        <v>0.82819648180196748</v>
      </c>
      <c r="F439" s="288">
        <v>0</v>
      </c>
      <c r="G439" s="288">
        <v>0.93094078603726005</v>
      </c>
      <c r="H439" s="288">
        <v>0</v>
      </c>
      <c r="I439" s="288">
        <v>0</v>
      </c>
      <c r="J439" s="289">
        <v>0.84094494943662668</v>
      </c>
      <c r="K439" s="287">
        <v>0</v>
      </c>
      <c r="L439" s="288">
        <v>0.73988572224932059</v>
      </c>
      <c r="M439" s="288">
        <v>0.70615284746539697</v>
      </c>
      <c r="N439" s="288">
        <v>0.65018375294827491</v>
      </c>
      <c r="O439" s="287">
        <v>0.71628611482621374</v>
      </c>
      <c r="P439" s="287">
        <v>0</v>
      </c>
      <c r="Q439" s="288">
        <v>0</v>
      </c>
      <c r="R439" s="290">
        <v>0</v>
      </c>
      <c r="S439"/>
      <c r="T439"/>
      <c r="U439"/>
      <c r="V439"/>
    </row>
    <row r="440" spans="1:22">
      <c r="A440" s="285"/>
      <c r="B440" s="595" t="s">
        <v>571</v>
      </c>
      <c r="C440" s="596">
        <v>-1.0825070646254265</v>
      </c>
      <c r="D440" s="597">
        <v>0</v>
      </c>
      <c r="E440" s="597">
        <v>-2.3462330994098557</v>
      </c>
      <c r="F440" s="597">
        <v>0</v>
      </c>
      <c r="G440" s="597">
        <v>-0.82427884180863442</v>
      </c>
      <c r="H440" s="597">
        <v>0</v>
      </c>
      <c r="I440" s="597">
        <v>0</v>
      </c>
      <c r="J440" s="598">
        <v>-1.8663170528144368</v>
      </c>
      <c r="K440" s="596">
        <v>0</v>
      </c>
      <c r="L440" s="597">
        <v>-7.5314381840012601</v>
      </c>
      <c r="M440" s="597">
        <v>-4.694010559457185</v>
      </c>
      <c r="N440" s="597">
        <v>-14.523584727831729</v>
      </c>
      <c r="O440" s="596">
        <v>-6.0554875657266365</v>
      </c>
      <c r="P440" s="599">
        <v>0</v>
      </c>
      <c r="Q440" s="597">
        <v>-100</v>
      </c>
      <c r="R440" s="600">
        <v>-100</v>
      </c>
      <c r="S440"/>
      <c r="T440"/>
      <c r="U440"/>
      <c r="V440"/>
    </row>
    <row r="441" spans="1:22">
      <c r="A441" s="285"/>
      <c r="B441" s="264" t="s">
        <v>572</v>
      </c>
      <c r="C441" s="281">
        <v>9.5195120886158863E-3</v>
      </c>
      <c r="D441" s="282">
        <v>0</v>
      </c>
      <c r="E441" s="282">
        <v>2.0675082478289197E-2</v>
      </c>
      <c r="F441" s="282">
        <v>0</v>
      </c>
      <c r="G441" s="282">
        <v>1.0895652577846367E-2</v>
      </c>
      <c r="H441" s="282">
        <v>0</v>
      </c>
      <c r="I441" s="282">
        <v>0</v>
      </c>
      <c r="J441" s="283">
        <v>1.6216288211133734E-2</v>
      </c>
      <c r="K441" s="281">
        <v>0</v>
      </c>
      <c r="L441" s="282">
        <v>9.3420176492648686E-3</v>
      </c>
      <c r="M441" s="282">
        <v>1.5300523670277113E-2</v>
      </c>
      <c r="N441" s="282">
        <v>7.7041353079226353E-3</v>
      </c>
      <c r="O441" s="281">
        <v>1.2902040935276998E-2</v>
      </c>
      <c r="P441" s="281">
        <v>0</v>
      </c>
      <c r="Q441" s="282">
        <v>0</v>
      </c>
      <c r="R441" s="284">
        <v>0</v>
      </c>
      <c r="S441"/>
      <c r="T441"/>
      <c r="U441"/>
      <c r="V441"/>
    </row>
    <row r="442" spans="1:22">
      <c r="A442" s="285"/>
      <c r="B442" s="286" t="s">
        <v>573</v>
      </c>
      <c r="C442" s="287">
        <v>8.8527469864922159E-3</v>
      </c>
      <c r="D442" s="288">
        <v>0</v>
      </c>
      <c r="E442" s="288">
        <v>3.4658956751677808E-2</v>
      </c>
      <c r="F442" s="288">
        <v>0</v>
      </c>
      <c r="G442" s="288">
        <v>6.9855908997377763E-3</v>
      </c>
      <c r="H442" s="288">
        <v>0</v>
      </c>
      <c r="I442" s="288">
        <v>0</v>
      </c>
      <c r="J442" s="289">
        <v>2.4494448752000263E-2</v>
      </c>
      <c r="K442" s="287">
        <v>0</v>
      </c>
      <c r="L442" s="288">
        <v>5.4332102292523173E-2</v>
      </c>
      <c r="M442" s="288">
        <v>4.5678735567761461E-2</v>
      </c>
      <c r="N442" s="288">
        <v>0.11868520651637321</v>
      </c>
      <c r="O442" s="287">
        <v>5.1486287242785089E-2</v>
      </c>
      <c r="P442" s="287">
        <v>0</v>
      </c>
      <c r="Q442" s="288">
        <v>0</v>
      </c>
      <c r="R442" s="290">
        <v>0</v>
      </c>
      <c r="S442"/>
      <c r="T442"/>
      <c r="U442"/>
      <c r="V442"/>
    </row>
    <row r="443" spans="1:22">
      <c r="A443" s="285"/>
      <c r="B443" s="595" t="s">
        <v>574</v>
      </c>
      <c r="C443" s="596">
        <v>-6.6676510212367035E-2</v>
      </c>
      <c r="D443" s="597">
        <v>0</v>
      </c>
      <c r="E443" s="597">
        <v>1.398387427338861</v>
      </c>
      <c r="F443" s="597">
        <v>0</v>
      </c>
      <c r="G443" s="597">
        <v>-0.39100616781085906</v>
      </c>
      <c r="H443" s="597">
        <v>0</v>
      </c>
      <c r="I443" s="597">
        <v>0</v>
      </c>
      <c r="J443" s="598">
        <v>0.82781605408665282</v>
      </c>
      <c r="K443" s="596">
        <v>0</v>
      </c>
      <c r="L443" s="597">
        <v>4.499008464325831</v>
      </c>
      <c r="M443" s="597">
        <v>3.0378211897484344</v>
      </c>
      <c r="N443" s="597">
        <v>11.098107120845057</v>
      </c>
      <c r="O443" s="596">
        <v>3.8584246307508092</v>
      </c>
      <c r="P443" s="599">
        <v>0</v>
      </c>
      <c r="Q443" s="597">
        <v>0</v>
      </c>
      <c r="R443" s="600">
        <v>0</v>
      </c>
      <c r="S443"/>
      <c r="T443"/>
      <c r="U443"/>
      <c r="V443"/>
    </row>
    <row r="444" spans="1:22">
      <c r="A444" s="285"/>
      <c r="B444" s="264" t="s">
        <v>575</v>
      </c>
      <c r="C444" s="281">
        <v>3.3468702541932918E-2</v>
      </c>
      <c r="D444" s="282">
        <v>0</v>
      </c>
      <c r="E444" s="282">
        <v>8.6367093453284041E-2</v>
      </c>
      <c r="F444" s="282">
        <v>0</v>
      </c>
      <c r="G444" s="282">
        <v>3.8570919807790573E-2</v>
      </c>
      <c r="H444" s="282">
        <v>0</v>
      </c>
      <c r="I444" s="282">
        <v>0</v>
      </c>
      <c r="J444" s="283">
        <v>6.5132199992341544E-2</v>
      </c>
      <c r="K444" s="281">
        <v>0</v>
      </c>
      <c r="L444" s="282">
        <v>0.12318207214309222</v>
      </c>
      <c r="M444" s="282">
        <v>0.14621809294852917</v>
      </c>
      <c r="N444" s="282">
        <v>9.6495913247551995E-2</v>
      </c>
      <c r="O444" s="281">
        <v>0.13625388823546555</v>
      </c>
      <c r="P444" s="281">
        <v>0</v>
      </c>
      <c r="Q444" s="282">
        <v>0</v>
      </c>
      <c r="R444" s="284">
        <v>0</v>
      </c>
      <c r="S444"/>
      <c r="T444"/>
      <c r="U444"/>
      <c r="V444"/>
    </row>
    <row r="445" spans="1:22">
      <c r="A445" s="285"/>
      <c r="B445" s="286" t="s">
        <v>576</v>
      </c>
      <c r="C445" s="287">
        <v>4.3332929513194826E-2</v>
      </c>
      <c r="D445" s="288">
        <v>0</v>
      </c>
      <c r="E445" s="288">
        <v>9.7752997794980159E-2</v>
      </c>
      <c r="F445" s="288">
        <v>0</v>
      </c>
      <c r="G445" s="288">
        <v>4.4060928703708591E-2</v>
      </c>
      <c r="H445" s="288">
        <v>0</v>
      </c>
      <c r="I445" s="288">
        <v>0</v>
      </c>
      <c r="J445" s="289">
        <v>7.6609861919923458E-2</v>
      </c>
      <c r="K445" s="287">
        <v>0</v>
      </c>
      <c r="L445" s="288">
        <v>0.13241725315309039</v>
      </c>
      <c r="M445" s="288">
        <v>0.16383027135369002</v>
      </c>
      <c r="N445" s="288">
        <v>0.10343645439087269</v>
      </c>
      <c r="O445" s="287">
        <v>0.15026225043909827</v>
      </c>
      <c r="P445" s="287">
        <v>0</v>
      </c>
      <c r="Q445" s="288">
        <v>0</v>
      </c>
      <c r="R445" s="290">
        <v>0</v>
      </c>
      <c r="S445"/>
      <c r="T445"/>
      <c r="U445"/>
      <c r="V445"/>
    </row>
    <row r="446" spans="1:22">
      <c r="A446" s="285"/>
      <c r="B446" s="595" t="s">
        <v>577</v>
      </c>
      <c r="C446" s="596">
        <v>0.9864226971261908</v>
      </c>
      <c r="D446" s="597">
        <v>0</v>
      </c>
      <c r="E446" s="597">
        <v>1.1385904341696118</v>
      </c>
      <c r="F446" s="597">
        <v>0</v>
      </c>
      <c r="G446" s="597">
        <v>0.54900088959180182</v>
      </c>
      <c r="H446" s="597">
        <v>0</v>
      </c>
      <c r="I446" s="597">
        <v>0</v>
      </c>
      <c r="J446" s="598">
        <v>1.1477661927581915</v>
      </c>
      <c r="K446" s="596">
        <v>0</v>
      </c>
      <c r="L446" s="597">
        <v>0.92351810099981635</v>
      </c>
      <c r="M446" s="597">
        <v>1.7612178405160854</v>
      </c>
      <c r="N446" s="597">
        <v>0.69405411433206976</v>
      </c>
      <c r="O446" s="596">
        <v>1.4008362203632718</v>
      </c>
      <c r="P446" s="599">
        <v>0</v>
      </c>
      <c r="Q446" s="597">
        <v>0</v>
      </c>
      <c r="R446" s="600">
        <v>0</v>
      </c>
      <c r="S446"/>
      <c r="T446"/>
      <c r="U446"/>
      <c r="V446"/>
    </row>
    <row r="447" spans="1:22">
      <c r="A447" s="285"/>
      <c r="B447" s="264" t="s">
        <v>578</v>
      </c>
      <c r="C447" s="281">
        <v>1.6370455548924566E-3</v>
      </c>
      <c r="D447" s="282">
        <v>0</v>
      </c>
      <c r="E447" s="282">
        <v>7.2182907586653498E-3</v>
      </c>
      <c r="F447" s="282">
        <v>0</v>
      </c>
      <c r="G447" s="282">
        <v>1.0265965408496648E-2</v>
      </c>
      <c r="H447" s="282">
        <v>0</v>
      </c>
      <c r="I447" s="282">
        <v>0</v>
      </c>
      <c r="J447" s="283">
        <v>5.4997727435431697E-3</v>
      </c>
      <c r="K447" s="281">
        <v>0</v>
      </c>
      <c r="L447" s="282">
        <v>7.7684318482744898E-3</v>
      </c>
      <c r="M447" s="282">
        <v>3.1248952251673453E-2</v>
      </c>
      <c r="N447" s="282">
        <v>3.3988832240835153E-4</v>
      </c>
      <c r="O447" s="281">
        <v>2.1764221030480688E-2</v>
      </c>
      <c r="P447" s="281">
        <v>0</v>
      </c>
      <c r="Q447" s="282">
        <v>0</v>
      </c>
      <c r="R447" s="284">
        <v>0</v>
      </c>
      <c r="S447"/>
      <c r="T447"/>
      <c r="U447"/>
      <c r="V447"/>
    </row>
    <row r="448" spans="1:22">
      <c r="A448" s="285"/>
      <c r="B448" s="286" t="s">
        <v>579</v>
      </c>
      <c r="C448" s="287">
        <v>1.1710784016798917E-3</v>
      </c>
      <c r="D448" s="288">
        <v>0</v>
      </c>
      <c r="E448" s="288">
        <v>6.8889985125166345E-3</v>
      </c>
      <c r="F448" s="288">
        <v>0</v>
      </c>
      <c r="G448" s="288">
        <v>1.6836118248537195E-2</v>
      </c>
      <c r="H448" s="288">
        <v>0</v>
      </c>
      <c r="I448" s="288">
        <v>0</v>
      </c>
      <c r="J448" s="289">
        <v>5.642311562762921E-3</v>
      </c>
      <c r="K448" s="287">
        <v>0</v>
      </c>
      <c r="L448" s="288">
        <v>7.2775416347292876E-3</v>
      </c>
      <c r="M448" s="288">
        <v>2.8288944248603412E-2</v>
      </c>
      <c r="N448" s="288">
        <v>1.3178103230760792E-2</v>
      </c>
      <c r="O448" s="287">
        <v>2.01421228186081E-2</v>
      </c>
      <c r="P448" s="287">
        <v>0</v>
      </c>
      <c r="Q448" s="288">
        <v>0</v>
      </c>
      <c r="R448" s="290">
        <v>0</v>
      </c>
      <c r="S448"/>
      <c r="T448"/>
      <c r="U448"/>
      <c r="V448"/>
    </row>
    <row r="449" spans="1:22">
      <c r="A449" s="285"/>
      <c r="B449" s="595" t="s">
        <v>580</v>
      </c>
      <c r="C449" s="596">
        <v>-4.6596715321256491E-2</v>
      </c>
      <c r="D449" s="597">
        <v>0</v>
      </c>
      <c r="E449" s="597">
        <v>-3.2929224614871522E-2</v>
      </c>
      <c r="F449" s="597">
        <v>0</v>
      </c>
      <c r="G449" s="597">
        <v>0.65701528400405462</v>
      </c>
      <c r="H449" s="597">
        <v>0</v>
      </c>
      <c r="I449" s="597">
        <v>0</v>
      </c>
      <c r="J449" s="598">
        <v>1.4253881921975128E-2</v>
      </c>
      <c r="K449" s="596">
        <v>0</v>
      </c>
      <c r="L449" s="597">
        <v>-4.9089021354520229E-2</v>
      </c>
      <c r="M449" s="597">
        <v>-0.2960008003070041</v>
      </c>
      <c r="N449" s="597">
        <v>1.2838214908352441</v>
      </c>
      <c r="O449" s="596">
        <v>-0.1622098211872588</v>
      </c>
      <c r="P449" s="599">
        <v>0</v>
      </c>
      <c r="Q449" s="597">
        <v>0</v>
      </c>
      <c r="R449" s="600">
        <v>0</v>
      </c>
      <c r="S449"/>
      <c r="T449"/>
      <c r="U449"/>
      <c r="V449"/>
    </row>
    <row r="450" spans="1:22">
      <c r="A450" s="285"/>
      <c r="B450" s="264" t="s">
        <v>581</v>
      </c>
      <c r="C450" s="281">
        <v>9.4008335638006243E-2</v>
      </c>
      <c r="D450" s="282">
        <v>0</v>
      </c>
      <c r="E450" s="282">
        <v>2.7557220454952999E-2</v>
      </c>
      <c r="F450" s="282">
        <v>0</v>
      </c>
      <c r="G450" s="282">
        <v>1.083887750520008E-4</v>
      </c>
      <c r="H450" s="282">
        <v>0</v>
      </c>
      <c r="I450" s="282">
        <v>0</v>
      </c>
      <c r="J450" s="283">
        <v>4.8588262911579756E-2</v>
      </c>
      <c r="K450" s="281">
        <v>0</v>
      </c>
      <c r="L450" s="282">
        <v>4.3543017213008108E-2</v>
      </c>
      <c r="M450" s="282">
        <v>5.2041716014668928E-2</v>
      </c>
      <c r="N450" s="282">
        <v>9.6447357772922224E-2</v>
      </c>
      <c r="O450" s="281">
        <v>5.0497435702868153E-2</v>
      </c>
      <c r="P450" s="281">
        <v>0</v>
      </c>
      <c r="Q450" s="282">
        <v>0</v>
      </c>
      <c r="R450" s="284">
        <v>0</v>
      </c>
      <c r="S450"/>
      <c r="T450"/>
      <c r="U450"/>
      <c r="V450"/>
    </row>
    <row r="451" spans="1:22">
      <c r="A451" s="285"/>
      <c r="B451" s="286" t="s">
        <v>582</v>
      </c>
      <c r="C451" s="287">
        <v>9.5790175056030047E-2</v>
      </c>
      <c r="D451" s="288">
        <v>0</v>
      </c>
      <c r="E451" s="288">
        <v>2.5922085696980242E-2</v>
      </c>
      <c r="F451" s="288">
        <v>0</v>
      </c>
      <c r="G451" s="288">
        <v>2.690824289173917E-4</v>
      </c>
      <c r="H451" s="288">
        <v>0</v>
      </c>
      <c r="I451" s="288">
        <v>0</v>
      </c>
      <c r="J451" s="289">
        <v>4.7152119042512826E-2</v>
      </c>
      <c r="K451" s="287">
        <v>0</v>
      </c>
      <c r="L451" s="288">
        <v>6.5322277193226946E-2</v>
      </c>
      <c r="M451" s="288">
        <v>5.3921068349542502E-2</v>
      </c>
      <c r="N451" s="288">
        <v>0.1105397400032911</v>
      </c>
      <c r="O451" s="287">
        <v>6.0119704635910987E-2</v>
      </c>
      <c r="P451" s="287">
        <v>0</v>
      </c>
      <c r="Q451" s="288">
        <v>0</v>
      </c>
      <c r="R451" s="290">
        <v>0</v>
      </c>
      <c r="S451"/>
      <c r="T451"/>
      <c r="U451"/>
      <c r="V451"/>
    </row>
    <row r="452" spans="1:22">
      <c r="A452" s="285"/>
      <c r="B452" s="595" t="s">
        <v>583</v>
      </c>
      <c r="C452" s="596">
        <v>0.17818394180238034</v>
      </c>
      <c r="D452" s="597">
        <v>0</v>
      </c>
      <c r="E452" s="597">
        <v>-0.16351347579727574</v>
      </c>
      <c r="F452" s="597">
        <v>0</v>
      </c>
      <c r="G452" s="597">
        <v>1.6069365386539091E-2</v>
      </c>
      <c r="H452" s="597">
        <v>0</v>
      </c>
      <c r="I452" s="597">
        <v>0</v>
      </c>
      <c r="J452" s="598">
        <v>-0.14361438690669304</v>
      </c>
      <c r="K452" s="596">
        <v>0</v>
      </c>
      <c r="L452" s="597">
        <v>2.1779259980218839</v>
      </c>
      <c r="M452" s="597">
        <v>0.18793523348735741</v>
      </c>
      <c r="N452" s="597">
        <v>1.4092382230368878</v>
      </c>
      <c r="O452" s="596">
        <v>0.96222689330428335</v>
      </c>
      <c r="P452" s="599">
        <v>0</v>
      </c>
      <c r="Q452" s="597">
        <v>0</v>
      </c>
      <c r="R452" s="600">
        <v>0</v>
      </c>
      <c r="S452"/>
      <c r="T452"/>
      <c r="U452"/>
      <c r="V452"/>
    </row>
    <row r="453" spans="1:22">
      <c r="A453" s="285"/>
      <c r="B453" s="264" t="s">
        <v>584</v>
      </c>
      <c r="C453" s="281">
        <v>2.9965599724409639E-3</v>
      </c>
      <c r="D453" s="282">
        <v>0</v>
      </c>
      <c r="E453" s="282">
        <v>6.5235000587424178E-3</v>
      </c>
      <c r="F453" s="282">
        <v>0</v>
      </c>
      <c r="G453" s="282">
        <v>9.7549897546800725E-4</v>
      </c>
      <c r="H453" s="282">
        <v>0</v>
      </c>
      <c r="I453" s="282">
        <v>0</v>
      </c>
      <c r="J453" s="283">
        <v>4.9553561766307111E-3</v>
      </c>
      <c r="K453" s="281">
        <v>0</v>
      </c>
      <c r="L453" s="282">
        <v>9.6435705702717801E-4</v>
      </c>
      <c r="M453" s="282">
        <v>2.0977620548825299E-3</v>
      </c>
      <c r="N453" s="282">
        <v>3.5931051226025736E-3</v>
      </c>
      <c r="O453" s="281">
        <v>1.7414236124284968E-3</v>
      </c>
      <c r="P453" s="281">
        <v>0</v>
      </c>
      <c r="Q453" s="282">
        <v>0</v>
      </c>
      <c r="R453" s="284">
        <v>0</v>
      </c>
      <c r="S453"/>
      <c r="T453"/>
      <c r="U453"/>
      <c r="V453"/>
    </row>
    <row r="454" spans="1:22">
      <c r="A454" s="285"/>
      <c r="B454" s="286" t="s">
        <v>585</v>
      </c>
      <c r="C454" s="287">
        <v>3.3082964847456942E-3</v>
      </c>
      <c r="D454" s="288">
        <v>0</v>
      </c>
      <c r="E454" s="288">
        <v>6.5804794418776544E-3</v>
      </c>
      <c r="F454" s="288">
        <v>0</v>
      </c>
      <c r="G454" s="288">
        <v>9.0749368183904648E-4</v>
      </c>
      <c r="H454" s="288">
        <v>0</v>
      </c>
      <c r="I454" s="288">
        <v>0</v>
      </c>
      <c r="J454" s="289">
        <v>5.1563092861738455E-3</v>
      </c>
      <c r="K454" s="287">
        <v>0</v>
      </c>
      <c r="L454" s="288">
        <v>7.6510347710960903E-4</v>
      </c>
      <c r="M454" s="288">
        <v>2.1281330150056802E-3</v>
      </c>
      <c r="N454" s="288">
        <v>3.9767429104272944E-3</v>
      </c>
      <c r="O454" s="287">
        <v>1.7035200373837799E-3</v>
      </c>
      <c r="P454" s="287">
        <v>0</v>
      </c>
      <c r="Q454" s="288">
        <v>0</v>
      </c>
      <c r="R454" s="290">
        <v>0</v>
      </c>
      <c r="S454"/>
      <c r="T454"/>
      <c r="U454"/>
      <c r="V454"/>
    </row>
    <row r="455" spans="1:22">
      <c r="A455" s="285"/>
      <c r="B455" s="595" t="s">
        <v>586</v>
      </c>
      <c r="C455" s="596">
        <v>3.1173651230473026E-2</v>
      </c>
      <c r="D455" s="597">
        <v>0</v>
      </c>
      <c r="E455" s="597">
        <v>5.6979383135236615E-3</v>
      </c>
      <c r="F455" s="597">
        <v>0</v>
      </c>
      <c r="G455" s="597">
        <v>-6.8005293628960774E-3</v>
      </c>
      <c r="H455" s="597">
        <v>0</v>
      </c>
      <c r="I455" s="597">
        <v>0</v>
      </c>
      <c r="J455" s="598">
        <v>2.0095310954313435E-2</v>
      </c>
      <c r="K455" s="596">
        <v>0</v>
      </c>
      <c r="L455" s="597">
        <v>-1.9925357991756897E-2</v>
      </c>
      <c r="M455" s="597">
        <v>3.0370960123150305E-3</v>
      </c>
      <c r="N455" s="597">
        <v>3.8363778782472088E-2</v>
      </c>
      <c r="O455" s="596">
        <v>-3.7903575044716861E-3</v>
      </c>
      <c r="P455" s="599">
        <v>0</v>
      </c>
      <c r="Q455" s="597">
        <v>0</v>
      </c>
      <c r="R455" s="600">
        <v>0</v>
      </c>
      <c r="S455"/>
      <c r="T455"/>
      <c r="U455"/>
      <c r="V455"/>
    </row>
    <row r="456" spans="1:22">
      <c r="A456" s="285"/>
      <c r="B456" s="264" t="s">
        <v>587</v>
      </c>
      <c r="C456" s="281">
        <v>0.75898341712757611</v>
      </c>
      <c r="D456" s="282">
        <v>0</v>
      </c>
      <c r="E456" s="282">
        <v>0.60885401926564153</v>
      </c>
      <c r="F456" s="282">
        <v>0</v>
      </c>
      <c r="G456" s="282">
        <v>0.32364241803278687</v>
      </c>
      <c r="H456" s="282">
        <v>0</v>
      </c>
      <c r="I456" s="282">
        <v>0</v>
      </c>
      <c r="J456" s="283">
        <v>0.67912971320207427</v>
      </c>
      <c r="K456" s="281">
        <v>0</v>
      </c>
      <c r="L456" s="282">
        <v>0</v>
      </c>
      <c r="M456" s="282">
        <v>0</v>
      </c>
      <c r="N456" s="282">
        <v>0</v>
      </c>
      <c r="O456" s="281">
        <v>0</v>
      </c>
      <c r="P456" s="281">
        <v>0</v>
      </c>
      <c r="Q456" s="282">
        <v>0</v>
      </c>
      <c r="R456" s="284">
        <v>0</v>
      </c>
      <c r="S456"/>
      <c r="T456"/>
      <c r="U456"/>
      <c r="V456"/>
    </row>
    <row r="457" spans="1:22">
      <c r="A457" s="285"/>
      <c r="B457" s="286" t="s">
        <v>588</v>
      </c>
      <c r="C457" s="287">
        <v>0.77323203354928494</v>
      </c>
      <c r="D457" s="288">
        <v>0</v>
      </c>
      <c r="E457" s="288">
        <v>0.66713510474996218</v>
      </c>
      <c r="F457" s="288">
        <v>0</v>
      </c>
      <c r="G457" s="288">
        <v>0.40838951310861421</v>
      </c>
      <c r="H457" s="288">
        <v>0</v>
      </c>
      <c r="I457" s="288">
        <v>0</v>
      </c>
      <c r="J457" s="289">
        <v>0.71866940000840773</v>
      </c>
      <c r="K457" s="287">
        <v>0</v>
      </c>
      <c r="L457" s="288">
        <v>0</v>
      </c>
      <c r="M457" s="288">
        <v>0</v>
      </c>
      <c r="N457" s="288">
        <v>0</v>
      </c>
      <c r="O457" s="287">
        <v>0</v>
      </c>
      <c r="P457" s="287">
        <v>0</v>
      </c>
      <c r="Q457" s="288">
        <v>0</v>
      </c>
      <c r="R457" s="290">
        <v>0</v>
      </c>
      <c r="S457"/>
      <c r="T457"/>
      <c r="U457"/>
      <c r="V457"/>
    </row>
    <row r="458" spans="1:22">
      <c r="A458" s="285"/>
      <c r="B458" s="595" t="s">
        <v>589</v>
      </c>
      <c r="C458" s="596">
        <v>1.4248616421708826</v>
      </c>
      <c r="D458" s="597">
        <v>0</v>
      </c>
      <c r="E458" s="597">
        <v>5.8281085484320645</v>
      </c>
      <c r="F458" s="597">
        <v>0</v>
      </c>
      <c r="G458" s="597">
        <v>8.4747095075827339</v>
      </c>
      <c r="H458" s="597">
        <v>0</v>
      </c>
      <c r="I458" s="597">
        <v>0</v>
      </c>
      <c r="J458" s="598">
        <v>3.9539686806333463</v>
      </c>
      <c r="K458" s="596">
        <v>0</v>
      </c>
      <c r="L458" s="597">
        <v>0</v>
      </c>
      <c r="M458" s="597">
        <v>0</v>
      </c>
      <c r="N458" s="597">
        <v>0</v>
      </c>
      <c r="O458" s="596">
        <v>0</v>
      </c>
      <c r="P458" s="599">
        <v>0</v>
      </c>
      <c r="Q458" s="597">
        <v>0</v>
      </c>
      <c r="R458" s="600">
        <v>0</v>
      </c>
      <c r="S458"/>
      <c r="T458"/>
      <c r="U458"/>
      <c r="V458"/>
    </row>
    <row r="459" spans="1:22">
      <c r="A459" s="285"/>
      <c r="B459" s="264" t="s">
        <v>590</v>
      </c>
      <c r="C459" s="281">
        <v>5.4682527543554092E-2</v>
      </c>
      <c r="D459" s="282">
        <v>0</v>
      </c>
      <c r="E459" s="282">
        <v>7.1349957548504761E-2</v>
      </c>
      <c r="F459" s="282">
        <v>0</v>
      </c>
      <c r="G459" s="282">
        <v>7.8125E-3</v>
      </c>
      <c r="H459" s="282">
        <v>0</v>
      </c>
      <c r="I459" s="282">
        <v>0</v>
      </c>
      <c r="J459" s="283">
        <v>6.1695569072971621E-2</v>
      </c>
      <c r="K459" s="281">
        <v>0</v>
      </c>
      <c r="L459" s="282">
        <v>0</v>
      </c>
      <c r="M459" s="282">
        <v>0</v>
      </c>
      <c r="N459" s="282">
        <v>0</v>
      </c>
      <c r="O459" s="281">
        <v>0</v>
      </c>
      <c r="P459" s="281">
        <v>0</v>
      </c>
      <c r="Q459" s="282">
        <v>0</v>
      </c>
      <c r="R459" s="284">
        <v>0</v>
      </c>
      <c r="S459"/>
      <c r="T459"/>
      <c r="U459"/>
      <c r="V459"/>
    </row>
    <row r="460" spans="1:22">
      <c r="A460" s="285"/>
      <c r="B460" s="286" t="s">
        <v>591</v>
      </c>
      <c r="C460" s="287">
        <v>5.3685437842615487E-2</v>
      </c>
      <c r="D460" s="288">
        <v>0</v>
      </c>
      <c r="E460" s="288">
        <v>7.4022225585367432E-2</v>
      </c>
      <c r="F460" s="288">
        <v>0</v>
      </c>
      <c r="G460" s="288">
        <v>7.9400749063670405E-3</v>
      </c>
      <c r="H460" s="288">
        <v>0</v>
      </c>
      <c r="I460" s="288">
        <v>0</v>
      </c>
      <c r="J460" s="289">
        <v>6.2234630516655995E-2</v>
      </c>
      <c r="K460" s="287">
        <v>0</v>
      </c>
      <c r="L460" s="288">
        <v>0</v>
      </c>
      <c r="M460" s="288">
        <v>0</v>
      </c>
      <c r="N460" s="288">
        <v>0</v>
      </c>
      <c r="O460" s="287">
        <v>0</v>
      </c>
      <c r="P460" s="287">
        <v>0</v>
      </c>
      <c r="Q460" s="288">
        <v>0</v>
      </c>
      <c r="R460" s="290">
        <v>0</v>
      </c>
      <c r="S460"/>
      <c r="T460"/>
      <c r="U460"/>
      <c r="V460"/>
    </row>
    <row r="461" spans="1:22">
      <c r="A461" s="285"/>
      <c r="B461" s="595" t="s">
        <v>592</v>
      </c>
      <c r="C461" s="596">
        <v>-9.9708970093860538E-2</v>
      </c>
      <c r="D461" s="597">
        <v>0</v>
      </c>
      <c r="E461" s="597">
        <v>0.26722680368626711</v>
      </c>
      <c r="F461" s="597">
        <v>0</v>
      </c>
      <c r="G461" s="597">
        <v>1.2757490636704054E-2</v>
      </c>
      <c r="H461" s="597">
        <v>0</v>
      </c>
      <c r="I461" s="597">
        <v>0</v>
      </c>
      <c r="J461" s="598">
        <v>5.3906144368437436E-2</v>
      </c>
      <c r="K461" s="596">
        <v>0</v>
      </c>
      <c r="L461" s="597">
        <v>0</v>
      </c>
      <c r="M461" s="597">
        <v>0</v>
      </c>
      <c r="N461" s="597">
        <v>0</v>
      </c>
      <c r="O461" s="596">
        <v>0</v>
      </c>
      <c r="P461" s="599">
        <v>0</v>
      </c>
      <c r="Q461" s="597">
        <v>0</v>
      </c>
      <c r="R461" s="600">
        <v>0</v>
      </c>
      <c r="S461"/>
      <c r="T461"/>
      <c r="U461"/>
      <c r="V461"/>
    </row>
    <row r="462" spans="1:22">
      <c r="A462" s="285"/>
      <c r="B462" s="264" t="s">
        <v>593</v>
      </c>
      <c r="C462" s="281">
        <v>9.1055314068058363E-2</v>
      </c>
      <c r="D462" s="282">
        <v>0</v>
      </c>
      <c r="E462" s="282">
        <v>0.21627726591406979</v>
      </c>
      <c r="F462" s="282">
        <v>0</v>
      </c>
      <c r="G462" s="282">
        <v>0.65227971311475408</v>
      </c>
      <c r="H462" s="282">
        <v>0</v>
      </c>
      <c r="I462" s="282">
        <v>0</v>
      </c>
      <c r="J462" s="283">
        <v>0.16151540146476515</v>
      </c>
      <c r="K462" s="281">
        <v>0</v>
      </c>
      <c r="L462" s="282">
        <v>0</v>
      </c>
      <c r="M462" s="282">
        <v>0</v>
      </c>
      <c r="N462" s="282">
        <v>0</v>
      </c>
      <c r="O462" s="281">
        <v>0</v>
      </c>
      <c r="P462" s="281">
        <v>0</v>
      </c>
      <c r="Q462" s="282">
        <v>0</v>
      </c>
      <c r="R462" s="284">
        <v>0</v>
      </c>
      <c r="S462"/>
      <c r="T462"/>
      <c r="U462"/>
      <c r="V462"/>
    </row>
    <row r="463" spans="1:22">
      <c r="A463" s="285"/>
      <c r="B463" s="286" t="s">
        <v>594</v>
      </c>
      <c r="C463" s="287">
        <v>8.0901919116886531E-2</v>
      </c>
      <c r="D463" s="288">
        <v>0</v>
      </c>
      <c r="E463" s="288">
        <v>0.16479471601842044</v>
      </c>
      <c r="F463" s="288">
        <v>0</v>
      </c>
      <c r="G463" s="288">
        <v>0.49992509363295878</v>
      </c>
      <c r="H463" s="288">
        <v>0</v>
      </c>
      <c r="I463" s="288">
        <v>0</v>
      </c>
      <c r="J463" s="289">
        <v>0.12620026756415234</v>
      </c>
      <c r="K463" s="287">
        <v>0</v>
      </c>
      <c r="L463" s="288">
        <v>0</v>
      </c>
      <c r="M463" s="288">
        <v>0</v>
      </c>
      <c r="N463" s="288">
        <v>0</v>
      </c>
      <c r="O463" s="287">
        <v>0</v>
      </c>
      <c r="P463" s="287">
        <v>0</v>
      </c>
      <c r="Q463" s="288">
        <v>0</v>
      </c>
      <c r="R463" s="290">
        <v>0</v>
      </c>
      <c r="S463"/>
      <c r="T463"/>
      <c r="U463"/>
      <c r="V463"/>
    </row>
    <row r="464" spans="1:22">
      <c r="A464" s="285"/>
      <c r="B464" s="595" t="s">
        <v>595</v>
      </c>
      <c r="C464" s="596">
        <v>-1.0153394951171832</v>
      </c>
      <c r="D464" s="597">
        <v>0</v>
      </c>
      <c r="E464" s="597">
        <v>-5.1482549895649345</v>
      </c>
      <c r="F464" s="597">
        <v>0</v>
      </c>
      <c r="G464" s="597">
        <v>-15.23546194817953</v>
      </c>
      <c r="H464" s="597">
        <v>0</v>
      </c>
      <c r="I464" s="597">
        <v>0</v>
      </c>
      <c r="J464" s="598">
        <v>-3.5315133900612805</v>
      </c>
      <c r="K464" s="596">
        <v>0</v>
      </c>
      <c r="L464" s="597">
        <v>0</v>
      </c>
      <c r="M464" s="597">
        <v>0</v>
      </c>
      <c r="N464" s="597">
        <v>0</v>
      </c>
      <c r="O464" s="596">
        <v>0</v>
      </c>
      <c r="P464" s="599">
        <v>0</v>
      </c>
      <c r="Q464" s="597">
        <v>0</v>
      </c>
      <c r="R464" s="600">
        <v>0</v>
      </c>
      <c r="S464"/>
      <c r="T464"/>
      <c r="U464"/>
      <c r="V464"/>
    </row>
    <row r="465" spans="1:22">
      <c r="A465" s="285"/>
      <c r="B465" s="264" t="s">
        <v>596</v>
      </c>
      <c r="C465" s="281">
        <v>1.0953280803635305E-3</v>
      </c>
      <c r="D465" s="282">
        <v>0</v>
      </c>
      <c r="E465" s="282">
        <v>5.3929121725731898E-3</v>
      </c>
      <c r="F465" s="282">
        <v>0</v>
      </c>
      <c r="G465" s="282">
        <v>1.4216188524590164E-2</v>
      </c>
      <c r="H465" s="282">
        <v>0</v>
      </c>
      <c r="I465" s="282">
        <v>0</v>
      </c>
      <c r="J465" s="283">
        <v>3.3940288018978653E-3</v>
      </c>
      <c r="K465" s="281">
        <v>0</v>
      </c>
      <c r="L465" s="282">
        <v>0</v>
      </c>
      <c r="M465" s="282">
        <v>0</v>
      </c>
      <c r="N465" s="282">
        <v>0</v>
      </c>
      <c r="O465" s="281">
        <v>0</v>
      </c>
      <c r="P465" s="281">
        <v>0</v>
      </c>
      <c r="Q465" s="282">
        <v>0</v>
      </c>
      <c r="R465" s="284">
        <v>0</v>
      </c>
      <c r="S465"/>
      <c r="T465"/>
      <c r="U465"/>
      <c r="V465"/>
    </row>
    <row r="466" spans="1:22">
      <c r="A466" s="285"/>
      <c r="B466" s="286" t="s">
        <v>597</v>
      </c>
      <c r="C466" s="287">
        <v>5.9237806884749559E-4</v>
      </c>
      <c r="D466" s="288">
        <v>0</v>
      </c>
      <c r="E466" s="288">
        <v>4.5456510929020822E-3</v>
      </c>
      <c r="F466" s="288">
        <v>0</v>
      </c>
      <c r="G466" s="288">
        <v>8.3745318352059922E-2</v>
      </c>
      <c r="H466" s="288">
        <v>0</v>
      </c>
      <c r="I466" s="288">
        <v>0</v>
      </c>
      <c r="J466" s="289">
        <v>3.7735942372319723E-3</v>
      </c>
      <c r="K466" s="287">
        <v>0</v>
      </c>
      <c r="L466" s="288">
        <v>0</v>
      </c>
      <c r="M466" s="288">
        <v>0</v>
      </c>
      <c r="N466" s="288">
        <v>0</v>
      </c>
      <c r="O466" s="287">
        <v>0</v>
      </c>
      <c r="P466" s="287">
        <v>0</v>
      </c>
      <c r="Q466" s="288">
        <v>0</v>
      </c>
      <c r="R466" s="290">
        <v>0</v>
      </c>
      <c r="S466"/>
      <c r="T466"/>
      <c r="U466"/>
      <c r="V466"/>
    </row>
    <row r="467" spans="1:22">
      <c r="A467" s="285"/>
      <c r="B467" s="595" t="s">
        <v>598</v>
      </c>
      <c r="C467" s="596">
        <v>-5.0295001151603493E-2</v>
      </c>
      <c r="D467" s="597">
        <v>0</v>
      </c>
      <c r="E467" s="597">
        <v>-8.4726107967110761E-2</v>
      </c>
      <c r="F467" s="597">
        <v>0</v>
      </c>
      <c r="G467" s="597">
        <v>6.9529129827469758</v>
      </c>
      <c r="H467" s="597">
        <v>0</v>
      </c>
      <c r="I467" s="597">
        <v>0</v>
      </c>
      <c r="J467" s="598">
        <v>3.79565435334107E-2</v>
      </c>
      <c r="K467" s="596">
        <v>0</v>
      </c>
      <c r="L467" s="597">
        <v>0</v>
      </c>
      <c r="M467" s="597">
        <v>0</v>
      </c>
      <c r="N467" s="597">
        <v>0</v>
      </c>
      <c r="O467" s="596">
        <v>0</v>
      </c>
      <c r="P467" s="599">
        <v>0</v>
      </c>
      <c r="Q467" s="597">
        <v>0</v>
      </c>
      <c r="R467" s="600">
        <v>0</v>
      </c>
      <c r="S467"/>
      <c r="T467"/>
      <c r="U467"/>
      <c r="V467"/>
    </row>
    <row r="468" spans="1:22">
      <c r="A468" s="285"/>
      <c r="B468" s="264" t="s">
        <v>599</v>
      </c>
      <c r="C468" s="281">
        <v>6.3533962571356684E-2</v>
      </c>
      <c r="D468" s="282">
        <v>0</v>
      </c>
      <c r="E468" s="282">
        <v>2.4223556911208245E-2</v>
      </c>
      <c r="F468" s="282">
        <v>0</v>
      </c>
      <c r="G468" s="282">
        <v>0</v>
      </c>
      <c r="H468" s="282">
        <v>0</v>
      </c>
      <c r="I468" s="282">
        <v>0</v>
      </c>
      <c r="J468" s="283">
        <v>4.3606541853458698E-2</v>
      </c>
      <c r="K468" s="281">
        <v>0</v>
      </c>
      <c r="L468" s="282">
        <v>0</v>
      </c>
      <c r="M468" s="282">
        <v>0</v>
      </c>
      <c r="N468" s="282">
        <v>0</v>
      </c>
      <c r="O468" s="281">
        <v>0</v>
      </c>
      <c r="P468" s="281">
        <v>0</v>
      </c>
      <c r="Q468" s="282">
        <v>0</v>
      </c>
      <c r="R468" s="284">
        <v>0</v>
      </c>
      <c r="S468"/>
      <c r="T468"/>
      <c r="U468"/>
      <c r="V468"/>
    </row>
    <row r="469" spans="1:22">
      <c r="A469" s="285"/>
      <c r="B469" s="286" t="s">
        <v>600</v>
      </c>
      <c r="C469" s="287">
        <v>6.3549002830250778E-2</v>
      </c>
      <c r="D469" s="288">
        <v>0</v>
      </c>
      <c r="E469" s="288">
        <v>2.4182215207662207E-2</v>
      </c>
      <c r="F469" s="288">
        <v>0</v>
      </c>
      <c r="G469" s="288">
        <v>0</v>
      </c>
      <c r="H469" s="288">
        <v>0</v>
      </c>
      <c r="I469" s="288">
        <v>0</v>
      </c>
      <c r="J469" s="289">
        <v>4.4489340709069736E-2</v>
      </c>
      <c r="K469" s="287">
        <v>0</v>
      </c>
      <c r="L469" s="288">
        <v>0</v>
      </c>
      <c r="M469" s="288">
        <v>0</v>
      </c>
      <c r="N469" s="288">
        <v>0</v>
      </c>
      <c r="O469" s="287">
        <v>0</v>
      </c>
      <c r="P469" s="287">
        <v>0</v>
      </c>
      <c r="Q469" s="288">
        <v>0</v>
      </c>
      <c r="R469" s="290">
        <v>0</v>
      </c>
      <c r="S469"/>
      <c r="T469"/>
      <c r="U469"/>
      <c r="V469"/>
    </row>
    <row r="470" spans="1:22">
      <c r="A470" s="285"/>
      <c r="B470" s="595" t="s">
        <v>601</v>
      </c>
      <c r="C470" s="596">
        <v>1.5040258894094549E-3</v>
      </c>
      <c r="D470" s="597">
        <v>0</v>
      </c>
      <c r="E470" s="597">
        <v>-4.1341703546037695E-3</v>
      </c>
      <c r="F470" s="597">
        <v>0</v>
      </c>
      <c r="G470" s="597">
        <v>0</v>
      </c>
      <c r="H470" s="597">
        <v>0</v>
      </c>
      <c r="I470" s="597">
        <v>0</v>
      </c>
      <c r="J470" s="598">
        <v>8.8279885561103749E-2</v>
      </c>
      <c r="K470" s="596">
        <v>0</v>
      </c>
      <c r="L470" s="597">
        <v>0</v>
      </c>
      <c r="M470" s="597">
        <v>0</v>
      </c>
      <c r="N470" s="597">
        <v>0</v>
      </c>
      <c r="O470" s="596">
        <v>0</v>
      </c>
      <c r="P470" s="599">
        <v>0</v>
      </c>
      <c r="Q470" s="597">
        <v>0</v>
      </c>
      <c r="R470" s="600">
        <v>0</v>
      </c>
      <c r="S470"/>
      <c r="T470"/>
      <c r="U470"/>
      <c r="V470"/>
    </row>
    <row r="471" spans="1:22">
      <c r="A471" s="285"/>
      <c r="B471" s="264" t="s">
        <v>602</v>
      </c>
      <c r="C471" s="281">
        <v>3.0649450609091224E-2</v>
      </c>
      <c r="D471" s="282">
        <v>0</v>
      </c>
      <c r="E471" s="282">
        <v>7.3902288188002471E-2</v>
      </c>
      <c r="F471" s="282">
        <v>0</v>
      </c>
      <c r="G471" s="282">
        <v>2.0491803278688526E-3</v>
      </c>
      <c r="H471" s="282">
        <v>0</v>
      </c>
      <c r="I471" s="282">
        <v>0</v>
      </c>
      <c r="J471" s="283">
        <v>5.0658745604832377E-2</v>
      </c>
      <c r="K471" s="281">
        <v>0</v>
      </c>
      <c r="L471" s="282">
        <v>0</v>
      </c>
      <c r="M471" s="282">
        <v>0</v>
      </c>
      <c r="N471" s="282">
        <v>0</v>
      </c>
      <c r="O471" s="281">
        <v>0</v>
      </c>
      <c r="P471" s="281">
        <v>0</v>
      </c>
      <c r="Q471" s="282">
        <v>0</v>
      </c>
      <c r="R471" s="284">
        <v>0</v>
      </c>
      <c r="S471"/>
      <c r="T471"/>
      <c r="U471"/>
      <c r="V471"/>
    </row>
    <row r="472" spans="1:22">
      <c r="A472" s="285"/>
      <c r="B472" s="286" t="s">
        <v>603</v>
      </c>
      <c r="C472" s="287">
        <v>2.8039228592114791E-2</v>
      </c>
      <c r="D472" s="288">
        <v>0</v>
      </c>
      <c r="E472" s="288">
        <v>6.5320087345685687E-2</v>
      </c>
      <c r="F472" s="288">
        <v>0</v>
      </c>
      <c r="G472" s="288">
        <v>0</v>
      </c>
      <c r="H472" s="288">
        <v>0</v>
      </c>
      <c r="I472" s="288">
        <v>0</v>
      </c>
      <c r="J472" s="289">
        <v>4.4632766964482221E-2</v>
      </c>
      <c r="K472" s="287">
        <v>0</v>
      </c>
      <c r="L472" s="288">
        <v>0</v>
      </c>
      <c r="M472" s="288">
        <v>0</v>
      </c>
      <c r="N472" s="288">
        <v>0</v>
      </c>
      <c r="O472" s="287">
        <v>0</v>
      </c>
      <c r="P472" s="287">
        <v>0</v>
      </c>
      <c r="Q472" s="288">
        <v>0</v>
      </c>
      <c r="R472" s="290">
        <v>0</v>
      </c>
      <c r="S472"/>
      <c r="T472"/>
      <c r="U472"/>
      <c r="V472"/>
    </row>
    <row r="473" spans="1:22">
      <c r="A473" s="292"/>
      <c r="B473" s="595" t="s">
        <v>604</v>
      </c>
      <c r="C473" s="596">
        <v>-0.26102220169764329</v>
      </c>
      <c r="D473" s="597">
        <v>0</v>
      </c>
      <c r="E473" s="597">
        <v>-0.85822008423167839</v>
      </c>
      <c r="F473" s="597">
        <v>0</v>
      </c>
      <c r="G473" s="597">
        <v>-0.20491803278688525</v>
      </c>
      <c r="H473" s="597">
        <v>0</v>
      </c>
      <c r="I473" s="597">
        <v>0</v>
      </c>
      <c r="J473" s="598">
        <v>-0.60259786403501558</v>
      </c>
      <c r="K473" s="596">
        <v>0</v>
      </c>
      <c r="L473" s="597">
        <v>0</v>
      </c>
      <c r="M473" s="597">
        <v>0</v>
      </c>
      <c r="N473" s="597">
        <v>0</v>
      </c>
      <c r="O473" s="596">
        <v>0</v>
      </c>
      <c r="P473" s="599">
        <v>0</v>
      </c>
      <c r="Q473" s="597">
        <v>0</v>
      </c>
      <c r="R473" s="600">
        <v>0</v>
      </c>
      <c r="S473"/>
      <c r="T473"/>
      <c r="U473"/>
      <c r="V473"/>
    </row>
    <row r="474" spans="1:22">
      <c r="A474" s="280" t="s">
        <v>438</v>
      </c>
      <c r="B474" s="264" t="s">
        <v>569</v>
      </c>
      <c r="C474" s="281">
        <v>0.9380597067921117</v>
      </c>
      <c r="D474" s="282">
        <v>0.93775744793341897</v>
      </c>
      <c r="E474" s="282">
        <v>0.9085510301206785</v>
      </c>
      <c r="F474" s="282">
        <v>0.58146084337349402</v>
      </c>
      <c r="G474" s="282">
        <v>0.82679947772557449</v>
      </c>
      <c r="H474" s="282">
        <v>1</v>
      </c>
      <c r="I474" s="282">
        <v>0</v>
      </c>
      <c r="J474" s="283">
        <v>0.91987260911288926</v>
      </c>
      <c r="K474" s="281">
        <v>0.8369789006021765</v>
      </c>
      <c r="L474" s="282">
        <v>0.74819930411669922</v>
      </c>
      <c r="M474" s="282">
        <v>0.62022661231462617</v>
      </c>
      <c r="N474" s="282">
        <v>0.63813072722585484</v>
      </c>
      <c r="O474" s="281">
        <v>0.72405098008782998</v>
      </c>
      <c r="P474" s="281">
        <v>0</v>
      </c>
      <c r="Q474" s="282">
        <v>0</v>
      </c>
      <c r="R474" s="284">
        <v>0</v>
      </c>
      <c r="S474"/>
      <c r="T474"/>
      <c r="U474"/>
      <c r="V474"/>
    </row>
    <row r="475" spans="1:22">
      <c r="A475" s="285"/>
      <c r="B475" s="286" t="s">
        <v>570</v>
      </c>
      <c r="C475" s="287">
        <v>0.92168230010142449</v>
      </c>
      <c r="D475" s="288">
        <v>0.92187414254019773</v>
      </c>
      <c r="E475" s="288">
        <v>0.89888044762565056</v>
      </c>
      <c r="F475" s="288">
        <v>0.54573574607884701</v>
      </c>
      <c r="G475" s="288">
        <v>0.7798037162581859</v>
      </c>
      <c r="H475" s="288">
        <v>0.99987874133505794</v>
      </c>
      <c r="I475" s="288">
        <v>0</v>
      </c>
      <c r="J475" s="289">
        <v>0.90473454222305472</v>
      </c>
      <c r="K475" s="287">
        <v>0.81759536750139683</v>
      </c>
      <c r="L475" s="288">
        <v>0.7400645961720087</v>
      </c>
      <c r="M475" s="288">
        <v>0.60822244422478289</v>
      </c>
      <c r="N475" s="288">
        <v>0.65263435764408528</v>
      </c>
      <c r="O475" s="287">
        <v>0.71572653990776924</v>
      </c>
      <c r="P475" s="287">
        <v>0</v>
      </c>
      <c r="Q475" s="288">
        <v>0</v>
      </c>
      <c r="R475" s="290">
        <v>0</v>
      </c>
      <c r="S475"/>
      <c r="T475"/>
      <c r="U475"/>
      <c r="V475"/>
    </row>
    <row r="476" spans="1:22">
      <c r="A476" s="285"/>
      <c r="B476" s="595" t="s">
        <v>571</v>
      </c>
      <c r="C476" s="596">
        <v>-1.6377406690687213</v>
      </c>
      <c r="D476" s="597">
        <v>-1.5883305393221248</v>
      </c>
      <c r="E476" s="597">
        <v>-0.96705824950279462</v>
      </c>
      <c r="F476" s="597">
        <v>-3.5725097294647012</v>
      </c>
      <c r="G476" s="597">
        <v>-4.6995761467388597</v>
      </c>
      <c r="H476" s="597">
        <v>-1.2125866494205884E-2</v>
      </c>
      <c r="I476" s="597">
        <v>0</v>
      </c>
      <c r="J476" s="598">
        <v>-1.5138066889834545</v>
      </c>
      <c r="K476" s="596">
        <v>-1.9383533100779671</v>
      </c>
      <c r="L476" s="597">
        <v>-0.81347079446905113</v>
      </c>
      <c r="M476" s="597">
        <v>-1.2004168089843281</v>
      </c>
      <c r="N476" s="597">
        <v>1.450363041823044</v>
      </c>
      <c r="O476" s="596">
        <v>-0.83244401800607326</v>
      </c>
      <c r="P476" s="599">
        <v>0</v>
      </c>
      <c r="Q476" s="597">
        <v>0</v>
      </c>
      <c r="R476" s="600">
        <v>0</v>
      </c>
      <c r="S476"/>
      <c r="T476"/>
      <c r="U476"/>
      <c r="V476"/>
    </row>
    <row r="477" spans="1:22">
      <c r="A477" s="285"/>
      <c r="B477" s="264" t="s">
        <v>572</v>
      </c>
      <c r="C477" s="281">
        <v>8.2504410495101536E-3</v>
      </c>
      <c r="D477" s="282">
        <v>7.4780107852934364E-3</v>
      </c>
      <c r="E477" s="282">
        <v>3.4113694435357139E-2</v>
      </c>
      <c r="F477" s="282">
        <v>9.3591867469879519E-2</v>
      </c>
      <c r="G477" s="282">
        <v>4.6964912851784738E-2</v>
      </c>
      <c r="H477" s="282">
        <v>0</v>
      </c>
      <c r="I477" s="282">
        <v>0</v>
      </c>
      <c r="J477" s="283">
        <v>1.9888374374301392E-2</v>
      </c>
      <c r="K477" s="281">
        <v>1.1176643601294138E-2</v>
      </c>
      <c r="L477" s="282">
        <v>9.1012852153075863E-2</v>
      </c>
      <c r="M477" s="282">
        <v>0.21285947145095555</v>
      </c>
      <c r="N477" s="282">
        <v>0.1359136609716656</v>
      </c>
      <c r="O477" s="281">
        <v>0.11229470989634105</v>
      </c>
      <c r="P477" s="281">
        <v>0</v>
      </c>
      <c r="Q477" s="282">
        <v>0</v>
      </c>
      <c r="R477" s="284">
        <v>0</v>
      </c>
      <c r="S477"/>
      <c r="T477"/>
      <c r="U477"/>
      <c r="V477"/>
    </row>
    <row r="478" spans="1:22">
      <c r="A478" s="285"/>
      <c r="B478" s="286" t="s">
        <v>573</v>
      </c>
      <c r="C478" s="287">
        <v>6.0548200080632018E-3</v>
      </c>
      <c r="D478" s="288">
        <v>8.3789991925178539E-3</v>
      </c>
      <c r="E478" s="288">
        <v>2.6404200884705149E-2</v>
      </c>
      <c r="F478" s="288">
        <v>8.3238395506570584E-2</v>
      </c>
      <c r="G478" s="288">
        <v>4.54611603102206E-2</v>
      </c>
      <c r="H478" s="288">
        <v>0</v>
      </c>
      <c r="I478" s="288">
        <v>0</v>
      </c>
      <c r="J478" s="289">
        <v>1.5965175900278395E-2</v>
      </c>
      <c r="K478" s="287">
        <v>1.0185722344159785E-2</v>
      </c>
      <c r="L478" s="288">
        <v>8.7063271541882745E-2</v>
      </c>
      <c r="M478" s="288">
        <v>0.20935664711366433</v>
      </c>
      <c r="N478" s="288">
        <v>0.12298380391765605</v>
      </c>
      <c r="O478" s="287">
        <v>0.10791597070312209</v>
      </c>
      <c r="P478" s="287">
        <v>0</v>
      </c>
      <c r="Q478" s="288">
        <v>0</v>
      </c>
      <c r="R478" s="290">
        <v>0</v>
      </c>
      <c r="S478"/>
      <c r="T478"/>
      <c r="U478"/>
      <c r="V478"/>
    </row>
    <row r="479" spans="1:22">
      <c r="A479" s="285"/>
      <c r="B479" s="595" t="s">
        <v>574</v>
      </c>
      <c r="C479" s="596">
        <v>-0.21956210414469518</v>
      </c>
      <c r="D479" s="597">
        <v>9.0098840722441759E-2</v>
      </c>
      <c r="E479" s="597">
        <v>-0.77094935506519902</v>
      </c>
      <c r="F479" s="597">
        <v>-1.0353471963308936</v>
      </c>
      <c r="G479" s="597">
        <v>-0.15037525415641378</v>
      </c>
      <c r="H479" s="597">
        <v>0</v>
      </c>
      <c r="I479" s="597">
        <v>0</v>
      </c>
      <c r="J479" s="598">
        <v>-0.39231984740229975</v>
      </c>
      <c r="K479" s="596">
        <v>-9.9092125713435258E-2</v>
      </c>
      <c r="L479" s="597">
        <v>-0.39495806111931181</v>
      </c>
      <c r="M479" s="597">
        <v>-0.35028243372912105</v>
      </c>
      <c r="N479" s="597">
        <v>-1.292985705400955</v>
      </c>
      <c r="O479" s="596">
        <v>-0.43787391932189612</v>
      </c>
      <c r="P479" s="599">
        <v>0</v>
      </c>
      <c r="Q479" s="597">
        <v>0</v>
      </c>
      <c r="R479" s="600">
        <v>0</v>
      </c>
      <c r="S479"/>
      <c r="T479"/>
      <c r="U479"/>
      <c r="V479"/>
    </row>
    <row r="480" spans="1:22">
      <c r="A480" s="285"/>
      <c r="B480" s="264" t="s">
        <v>575</v>
      </c>
      <c r="C480" s="281">
        <v>4.4916948779416405E-2</v>
      </c>
      <c r="D480" s="282">
        <v>5.1386055068997891E-2</v>
      </c>
      <c r="E480" s="282">
        <v>5.3619306340626872E-2</v>
      </c>
      <c r="F480" s="282">
        <v>0.3051957831325301</v>
      </c>
      <c r="G480" s="282">
        <v>0.10457785831316935</v>
      </c>
      <c r="H480" s="282">
        <v>0</v>
      </c>
      <c r="I480" s="282">
        <v>0</v>
      </c>
      <c r="J480" s="283">
        <v>5.3548107008723915E-2</v>
      </c>
      <c r="K480" s="281">
        <v>0.14880880508986208</v>
      </c>
      <c r="L480" s="282">
        <v>0.15316724901766632</v>
      </c>
      <c r="M480" s="282">
        <v>0.141312577618634</v>
      </c>
      <c r="N480" s="282">
        <v>0.19684079776887201</v>
      </c>
      <c r="O480" s="281">
        <v>0.15205845552317948</v>
      </c>
      <c r="P480" s="281">
        <v>0</v>
      </c>
      <c r="Q480" s="282">
        <v>0</v>
      </c>
      <c r="R480" s="284">
        <v>0</v>
      </c>
      <c r="S480"/>
      <c r="T480"/>
      <c r="U480"/>
      <c r="V480"/>
    </row>
    <row r="481" spans="1:22">
      <c r="A481" s="285"/>
      <c r="B481" s="286" t="s">
        <v>576</v>
      </c>
      <c r="C481" s="287">
        <v>6.6356243172879525E-2</v>
      </c>
      <c r="D481" s="288">
        <v>6.5177136495841073E-2</v>
      </c>
      <c r="E481" s="288">
        <v>7.0762252580390012E-2</v>
      </c>
      <c r="F481" s="288">
        <v>0.33947117422636708</v>
      </c>
      <c r="G481" s="288">
        <v>0.15493992581681368</v>
      </c>
      <c r="H481" s="288">
        <v>1.2125866494209899E-4</v>
      </c>
      <c r="I481" s="288">
        <v>0</v>
      </c>
      <c r="J481" s="289">
        <v>7.359542029451871E-2</v>
      </c>
      <c r="K481" s="287">
        <v>0.17023657075334245</v>
      </c>
      <c r="L481" s="288">
        <v>0.16598867458539976</v>
      </c>
      <c r="M481" s="288">
        <v>0.15902507712052924</v>
      </c>
      <c r="N481" s="288">
        <v>0.19840408726595496</v>
      </c>
      <c r="O481" s="287">
        <v>0.1659170546394057</v>
      </c>
      <c r="P481" s="287">
        <v>0</v>
      </c>
      <c r="Q481" s="288">
        <v>0</v>
      </c>
      <c r="R481" s="290">
        <v>0</v>
      </c>
      <c r="S481"/>
      <c r="T481"/>
      <c r="U481"/>
      <c r="V481"/>
    </row>
    <row r="482" spans="1:22">
      <c r="A482" s="285"/>
      <c r="B482" s="595" t="s">
        <v>577</v>
      </c>
      <c r="C482" s="596">
        <v>2.1439294393463122</v>
      </c>
      <c r="D482" s="597">
        <v>1.3791081426843181</v>
      </c>
      <c r="E482" s="597">
        <v>1.7142946239763139</v>
      </c>
      <c r="F482" s="597">
        <v>3.427539109383698</v>
      </c>
      <c r="G482" s="597">
        <v>5.0362067503644328</v>
      </c>
      <c r="H482" s="597">
        <v>0</v>
      </c>
      <c r="I482" s="597">
        <v>0</v>
      </c>
      <c r="J482" s="598">
        <v>2.0047313285794797</v>
      </c>
      <c r="K482" s="596">
        <v>2.1427765663480369</v>
      </c>
      <c r="L482" s="597">
        <v>1.2821425567733442</v>
      </c>
      <c r="M482" s="597">
        <v>1.771249950189524</v>
      </c>
      <c r="N482" s="597">
        <v>0.15632894970829536</v>
      </c>
      <c r="O482" s="596">
        <v>1.3858599116226222</v>
      </c>
      <c r="P482" s="599">
        <v>0</v>
      </c>
      <c r="Q482" s="597">
        <v>0</v>
      </c>
      <c r="R482" s="600">
        <v>0</v>
      </c>
      <c r="S482"/>
      <c r="T482"/>
      <c r="U482"/>
      <c r="V482"/>
    </row>
    <row r="483" spans="1:22">
      <c r="A483" s="285"/>
      <c r="B483" s="264" t="s">
        <v>578</v>
      </c>
      <c r="C483" s="281">
        <v>1.237677751322134E-4</v>
      </c>
      <c r="D483" s="282">
        <v>3.3784862122897348E-3</v>
      </c>
      <c r="E483" s="282">
        <v>3.2468871453073716E-3</v>
      </c>
      <c r="F483" s="282">
        <v>1.5737951807228915E-3</v>
      </c>
      <c r="G483" s="282">
        <v>2.060524516878072E-2</v>
      </c>
      <c r="H483" s="282">
        <v>0</v>
      </c>
      <c r="I483" s="282">
        <v>0</v>
      </c>
      <c r="J483" s="283">
        <v>2.2229492022446322E-3</v>
      </c>
      <c r="K483" s="281">
        <v>2.8034489697982942E-3</v>
      </c>
      <c r="L483" s="282">
        <v>9.5303338575733942E-4</v>
      </c>
      <c r="M483" s="282">
        <v>2.2050219134427777E-2</v>
      </c>
      <c r="N483" s="282">
        <v>1.8291968407977689E-2</v>
      </c>
      <c r="O483" s="281">
        <v>5.7166031842888288E-3</v>
      </c>
      <c r="P483" s="281">
        <v>0</v>
      </c>
      <c r="Q483" s="282">
        <v>0</v>
      </c>
      <c r="R483" s="284">
        <v>0</v>
      </c>
      <c r="S483"/>
      <c r="T483"/>
      <c r="U483"/>
      <c r="V483"/>
    </row>
    <row r="484" spans="1:22">
      <c r="A484" s="285"/>
      <c r="B484" s="286" t="s">
        <v>579</v>
      </c>
      <c r="C484" s="287">
        <v>9.5274632055423282E-5</v>
      </c>
      <c r="D484" s="288">
        <v>4.5226839765751779E-3</v>
      </c>
      <c r="E484" s="288">
        <v>2.6448387317273233E-3</v>
      </c>
      <c r="F484" s="288">
        <v>1.3227267910131412E-2</v>
      </c>
      <c r="G484" s="288">
        <v>1.9795197614779846E-2</v>
      </c>
      <c r="H484" s="288">
        <v>0</v>
      </c>
      <c r="I484" s="288">
        <v>0</v>
      </c>
      <c r="J484" s="289">
        <v>2.2471598914621319E-3</v>
      </c>
      <c r="K484" s="287">
        <v>1.7297014059504936E-3</v>
      </c>
      <c r="L484" s="288">
        <v>7.3865871358751482E-4</v>
      </c>
      <c r="M484" s="288">
        <v>2.0511163822088164E-2</v>
      </c>
      <c r="N484" s="288">
        <v>1.9355482390501846E-2</v>
      </c>
      <c r="O484" s="287">
        <v>5.2069829542015934E-3</v>
      </c>
      <c r="P484" s="287">
        <v>0</v>
      </c>
      <c r="Q484" s="288">
        <v>0</v>
      </c>
      <c r="R484" s="290">
        <v>0</v>
      </c>
      <c r="S484"/>
      <c r="T484"/>
      <c r="U484"/>
      <c r="V484"/>
    </row>
    <row r="485" spans="1:22">
      <c r="A485" s="285"/>
      <c r="B485" s="595" t="s">
        <v>580</v>
      </c>
      <c r="C485" s="596">
        <v>-2.849314307679012E-3</v>
      </c>
      <c r="D485" s="597">
        <v>0.11441977642854431</v>
      </c>
      <c r="E485" s="597">
        <v>-6.0204841358004822E-2</v>
      </c>
      <c r="F485" s="597">
        <v>1.1653472729408521</v>
      </c>
      <c r="G485" s="597">
        <v>-8.1004755400087419E-2</v>
      </c>
      <c r="H485" s="597">
        <v>0</v>
      </c>
      <c r="I485" s="597">
        <v>0</v>
      </c>
      <c r="J485" s="598">
        <v>2.4210689217499682E-3</v>
      </c>
      <c r="K485" s="596">
        <v>-0.10737475638478006</v>
      </c>
      <c r="L485" s="597">
        <v>-2.1437467216982461E-2</v>
      </c>
      <c r="M485" s="597">
        <v>-0.15390553123396133</v>
      </c>
      <c r="N485" s="597">
        <v>0.10635139825241578</v>
      </c>
      <c r="O485" s="596">
        <v>-5.0962023008723545E-2</v>
      </c>
      <c r="P485" s="599">
        <v>0</v>
      </c>
      <c r="Q485" s="597">
        <v>0</v>
      </c>
      <c r="R485" s="600">
        <v>0</v>
      </c>
      <c r="S485"/>
      <c r="T485"/>
      <c r="U485"/>
      <c r="V485"/>
    </row>
    <row r="486" spans="1:22">
      <c r="A486" s="285"/>
      <c r="B486" s="264" t="s">
        <v>581</v>
      </c>
      <c r="C486" s="281">
        <v>8.6491356038294973E-3</v>
      </c>
      <c r="D486" s="282">
        <v>0</v>
      </c>
      <c r="E486" s="282">
        <v>4.690819580300683E-4</v>
      </c>
      <c r="F486" s="282">
        <v>1.8177710843373492E-2</v>
      </c>
      <c r="G486" s="282">
        <v>1.0525059406907478E-3</v>
      </c>
      <c r="H486" s="282">
        <v>0</v>
      </c>
      <c r="I486" s="282">
        <v>0</v>
      </c>
      <c r="J486" s="283">
        <v>4.4679603018408431E-3</v>
      </c>
      <c r="K486" s="281">
        <v>2.3220173686899179E-4</v>
      </c>
      <c r="L486" s="282">
        <v>6.6675613268012647E-3</v>
      </c>
      <c r="M486" s="282">
        <v>3.5511194813565251E-3</v>
      </c>
      <c r="N486" s="282">
        <v>1.0822845625629848E-2</v>
      </c>
      <c r="O486" s="281">
        <v>5.8792513083606454E-3</v>
      </c>
      <c r="P486" s="281">
        <v>0</v>
      </c>
      <c r="Q486" s="282">
        <v>0</v>
      </c>
      <c r="R486" s="284">
        <v>0</v>
      </c>
      <c r="S486"/>
      <c r="T486"/>
      <c r="U486"/>
      <c r="V486"/>
    </row>
    <row r="487" spans="1:22">
      <c r="A487" s="285"/>
      <c r="B487" s="286" t="s">
        <v>582</v>
      </c>
      <c r="C487" s="287">
        <v>5.8113620855773148E-3</v>
      </c>
      <c r="D487" s="288">
        <v>4.7037794868176579E-5</v>
      </c>
      <c r="E487" s="288">
        <v>1.3082601775269269E-3</v>
      </c>
      <c r="F487" s="288">
        <v>1.8327416278083934E-2</v>
      </c>
      <c r="G487" s="288">
        <v>0</v>
      </c>
      <c r="H487" s="288">
        <v>0</v>
      </c>
      <c r="I487" s="288">
        <v>0</v>
      </c>
      <c r="J487" s="289">
        <v>3.4577016906860258E-3</v>
      </c>
      <c r="K487" s="287">
        <v>2.5263799515041986E-4</v>
      </c>
      <c r="L487" s="288">
        <v>6.1447989871212519E-3</v>
      </c>
      <c r="M487" s="288">
        <v>2.8846677189353943E-3</v>
      </c>
      <c r="N487" s="288">
        <v>6.6222687818018556E-3</v>
      </c>
      <c r="O487" s="287">
        <v>5.2334517955013263E-3</v>
      </c>
      <c r="P487" s="287">
        <v>0</v>
      </c>
      <c r="Q487" s="288">
        <v>0</v>
      </c>
      <c r="R487" s="290">
        <v>0</v>
      </c>
      <c r="S487"/>
      <c r="T487"/>
      <c r="U487"/>
      <c r="V487"/>
    </row>
    <row r="488" spans="1:22">
      <c r="A488" s="285"/>
      <c r="B488" s="595" t="s">
        <v>583</v>
      </c>
      <c r="C488" s="596">
        <v>-0.28377735182521824</v>
      </c>
      <c r="D488" s="597">
        <v>0</v>
      </c>
      <c r="E488" s="597">
        <v>8.3917821949685847E-2</v>
      </c>
      <c r="F488" s="597">
        <v>1.4970543471044123E-2</v>
      </c>
      <c r="G488" s="597">
        <v>-0.10525059406907478</v>
      </c>
      <c r="H488" s="597">
        <v>0</v>
      </c>
      <c r="I488" s="597">
        <v>0</v>
      </c>
      <c r="J488" s="598">
        <v>-0.10102586111548173</v>
      </c>
      <c r="K488" s="596">
        <v>2.0436258281428072E-3</v>
      </c>
      <c r="L488" s="597">
        <v>-5.2276233968001282E-2</v>
      </c>
      <c r="M488" s="597">
        <v>-6.664517624211308E-2</v>
      </c>
      <c r="N488" s="597">
        <v>-0.42005768438279922</v>
      </c>
      <c r="O488" s="596">
        <v>-6.4579951285931914E-2</v>
      </c>
      <c r="P488" s="599">
        <v>0</v>
      </c>
      <c r="Q488" s="597">
        <v>0</v>
      </c>
      <c r="R488" s="600">
        <v>0</v>
      </c>
      <c r="S488"/>
      <c r="T488"/>
      <c r="U488"/>
      <c r="V488"/>
    </row>
    <row r="489" spans="1:22">
      <c r="A489" s="285"/>
      <c r="B489" s="264" t="s">
        <v>584</v>
      </c>
      <c r="C489" s="281">
        <v>0</v>
      </c>
      <c r="D489" s="282">
        <v>0</v>
      </c>
      <c r="E489" s="282">
        <v>0</v>
      </c>
      <c r="F489" s="282">
        <v>0</v>
      </c>
      <c r="G489" s="282">
        <v>0</v>
      </c>
      <c r="H489" s="282">
        <v>0</v>
      </c>
      <c r="I489" s="282">
        <v>0</v>
      </c>
      <c r="J489" s="283">
        <v>0</v>
      </c>
      <c r="K489" s="281">
        <v>0</v>
      </c>
      <c r="L489" s="282">
        <v>0</v>
      </c>
      <c r="M489" s="282">
        <v>0</v>
      </c>
      <c r="N489" s="282">
        <v>0</v>
      </c>
      <c r="O489" s="281">
        <v>0</v>
      </c>
      <c r="P489" s="281">
        <v>0</v>
      </c>
      <c r="Q489" s="282">
        <v>0</v>
      </c>
      <c r="R489" s="284">
        <v>0</v>
      </c>
      <c r="S489"/>
      <c r="T489"/>
      <c r="U489"/>
      <c r="V489"/>
    </row>
    <row r="490" spans="1:22">
      <c r="A490" s="285"/>
      <c r="B490" s="286" t="s">
        <v>585</v>
      </c>
      <c r="C490" s="287">
        <v>0</v>
      </c>
      <c r="D490" s="288">
        <v>0</v>
      </c>
      <c r="E490" s="288">
        <v>0</v>
      </c>
      <c r="F490" s="288">
        <v>0</v>
      </c>
      <c r="G490" s="288">
        <v>0</v>
      </c>
      <c r="H490" s="288">
        <v>0</v>
      </c>
      <c r="I490" s="288">
        <v>0</v>
      </c>
      <c r="J490" s="289">
        <v>0</v>
      </c>
      <c r="K490" s="287">
        <v>0</v>
      </c>
      <c r="L490" s="288">
        <v>0</v>
      </c>
      <c r="M490" s="288">
        <v>0</v>
      </c>
      <c r="N490" s="288">
        <v>0</v>
      </c>
      <c r="O490" s="287">
        <v>0</v>
      </c>
      <c r="P490" s="287">
        <v>0</v>
      </c>
      <c r="Q490" s="288">
        <v>0</v>
      </c>
      <c r="R490" s="290">
        <v>0</v>
      </c>
      <c r="S490"/>
      <c r="T490"/>
      <c r="U490"/>
      <c r="V490"/>
    </row>
    <row r="491" spans="1:22">
      <c r="A491" s="285"/>
      <c r="B491" s="595" t="s">
        <v>586</v>
      </c>
      <c r="C491" s="596">
        <v>0</v>
      </c>
      <c r="D491" s="597">
        <v>0</v>
      </c>
      <c r="E491" s="597">
        <v>0</v>
      </c>
      <c r="F491" s="597">
        <v>0</v>
      </c>
      <c r="G491" s="597">
        <v>0</v>
      </c>
      <c r="H491" s="597">
        <v>0</v>
      </c>
      <c r="I491" s="597">
        <v>0</v>
      </c>
      <c r="J491" s="598">
        <v>0</v>
      </c>
      <c r="K491" s="596">
        <v>0</v>
      </c>
      <c r="L491" s="597">
        <v>0</v>
      </c>
      <c r="M491" s="597">
        <v>0</v>
      </c>
      <c r="N491" s="597">
        <v>0</v>
      </c>
      <c r="O491" s="596">
        <v>0</v>
      </c>
      <c r="P491" s="599">
        <v>0</v>
      </c>
      <c r="Q491" s="597">
        <v>0</v>
      </c>
      <c r="R491" s="600">
        <v>0</v>
      </c>
      <c r="S491"/>
      <c r="T491"/>
      <c r="U491"/>
      <c r="V491"/>
    </row>
    <row r="492" spans="1:22">
      <c r="A492" s="285"/>
      <c r="B492" s="264" t="s">
        <v>587</v>
      </c>
      <c r="C492" s="281">
        <v>0.89436733210852182</v>
      </c>
      <c r="D492" s="282">
        <v>0.71230046207484921</v>
      </c>
      <c r="E492" s="282">
        <v>0.5856503420383421</v>
      </c>
      <c r="F492" s="282">
        <v>0.31152865811021135</v>
      </c>
      <c r="G492" s="282">
        <v>0.8136612021857923</v>
      </c>
      <c r="H492" s="282">
        <v>0.93821510297482835</v>
      </c>
      <c r="I492" s="282">
        <v>0</v>
      </c>
      <c r="J492" s="283">
        <v>0.75842732681139724</v>
      </c>
      <c r="K492" s="281">
        <v>0</v>
      </c>
      <c r="L492" s="282">
        <v>0</v>
      </c>
      <c r="M492" s="282">
        <v>0</v>
      </c>
      <c r="N492" s="282">
        <v>0</v>
      </c>
      <c r="O492" s="281">
        <v>0</v>
      </c>
      <c r="P492" s="281">
        <v>0</v>
      </c>
      <c r="Q492" s="282">
        <v>0</v>
      </c>
      <c r="R492" s="284">
        <v>0</v>
      </c>
      <c r="S492"/>
      <c r="T492"/>
      <c r="U492"/>
      <c r="V492"/>
    </row>
    <row r="493" spans="1:22">
      <c r="A493" s="285"/>
      <c r="B493" s="286" t="s">
        <v>588</v>
      </c>
      <c r="C493" s="287">
        <v>0.86982776612221135</v>
      </c>
      <c r="D493" s="288">
        <v>0.69560443500318192</v>
      </c>
      <c r="E493" s="288">
        <v>0.57720477682126514</v>
      </c>
      <c r="F493" s="288">
        <v>0.2510226691665246</v>
      </c>
      <c r="G493" s="288">
        <v>0.70453333333333334</v>
      </c>
      <c r="H493" s="288">
        <v>0.92469879518072284</v>
      </c>
      <c r="I493" s="288">
        <v>0</v>
      </c>
      <c r="J493" s="289">
        <v>0.74060360286724658</v>
      </c>
      <c r="K493" s="287">
        <v>0</v>
      </c>
      <c r="L493" s="288">
        <v>0</v>
      </c>
      <c r="M493" s="288">
        <v>0</v>
      </c>
      <c r="N493" s="288">
        <v>0</v>
      </c>
      <c r="O493" s="287">
        <v>0</v>
      </c>
      <c r="P493" s="287">
        <v>0</v>
      </c>
      <c r="Q493" s="288">
        <v>0</v>
      </c>
      <c r="R493" s="290">
        <v>0</v>
      </c>
      <c r="S493"/>
      <c r="T493"/>
      <c r="U493"/>
      <c r="V493"/>
    </row>
    <row r="494" spans="1:22">
      <c r="A494" s="285"/>
      <c r="B494" s="595" t="s">
        <v>589</v>
      </c>
      <c r="C494" s="596">
        <v>-2.4539565986310463</v>
      </c>
      <c r="D494" s="597">
        <v>-1.6696027071667285</v>
      </c>
      <c r="E494" s="597">
        <v>-0.84455652170769557</v>
      </c>
      <c r="F494" s="597">
        <v>-6.050598894368675</v>
      </c>
      <c r="G494" s="597">
        <v>-10.912786885245895</v>
      </c>
      <c r="H494" s="597">
        <v>-1.3516307794105509</v>
      </c>
      <c r="I494" s="597">
        <v>0</v>
      </c>
      <c r="J494" s="598">
        <v>-1.782372394415066</v>
      </c>
      <c r="K494" s="596">
        <v>0</v>
      </c>
      <c r="L494" s="597">
        <v>0</v>
      </c>
      <c r="M494" s="597">
        <v>0</v>
      </c>
      <c r="N494" s="597">
        <v>0</v>
      </c>
      <c r="O494" s="596">
        <v>0</v>
      </c>
      <c r="P494" s="599">
        <v>0</v>
      </c>
      <c r="Q494" s="597">
        <v>0</v>
      </c>
      <c r="R494" s="600">
        <v>0</v>
      </c>
      <c r="S494"/>
      <c r="T494"/>
      <c r="U494"/>
      <c r="V494"/>
    </row>
    <row r="495" spans="1:22">
      <c r="A495" s="285"/>
      <c r="B495" s="264" t="s">
        <v>590</v>
      </c>
      <c r="C495" s="281">
        <v>2.3387648938154832E-2</v>
      </c>
      <c r="D495" s="282">
        <v>3.2000039451427896E-2</v>
      </c>
      <c r="E495" s="282">
        <v>0.10637282961266933</v>
      </c>
      <c r="F495" s="282">
        <v>0.14569282475808087</v>
      </c>
      <c r="G495" s="282">
        <v>1.639344262295082E-3</v>
      </c>
      <c r="H495" s="282">
        <v>2.0594965675057208E-2</v>
      </c>
      <c r="I495" s="282">
        <v>0</v>
      </c>
      <c r="J495" s="283">
        <v>5.4747429320330505E-2</v>
      </c>
      <c r="K495" s="281">
        <v>0</v>
      </c>
      <c r="L495" s="282">
        <v>0</v>
      </c>
      <c r="M495" s="282">
        <v>0</v>
      </c>
      <c r="N495" s="282">
        <v>0</v>
      </c>
      <c r="O495" s="281">
        <v>0</v>
      </c>
      <c r="P495" s="281">
        <v>0</v>
      </c>
      <c r="Q495" s="282">
        <v>0</v>
      </c>
      <c r="R495" s="284">
        <v>0</v>
      </c>
      <c r="S495"/>
      <c r="T495"/>
      <c r="U495"/>
      <c r="V495"/>
    </row>
    <row r="496" spans="1:22">
      <c r="A496" s="285"/>
      <c r="B496" s="286" t="s">
        <v>591</v>
      </c>
      <c r="C496" s="287">
        <v>2.1363554813504836E-2</v>
      </c>
      <c r="D496" s="288">
        <v>2.5858900929486318E-2</v>
      </c>
      <c r="E496" s="288">
        <v>8.3849744401076495E-2</v>
      </c>
      <c r="F496" s="288">
        <v>0.15928072268621102</v>
      </c>
      <c r="G496" s="288">
        <v>5.3333333333333332E-3</v>
      </c>
      <c r="H496" s="288">
        <v>1.2048192771084338E-2</v>
      </c>
      <c r="I496" s="288">
        <v>0</v>
      </c>
      <c r="J496" s="289">
        <v>4.5356874508232156E-2</v>
      </c>
      <c r="K496" s="287">
        <v>0</v>
      </c>
      <c r="L496" s="288">
        <v>0</v>
      </c>
      <c r="M496" s="288">
        <v>0</v>
      </c>
      <c r="N496" s="288">
        <v>0</v>
      </c>
      <c r="O496" s="287">
        <v>0</v>
      </c>
      <c r="P496" s="287">
        <v>0</v>
      </c>
      <c r="Q496" s="288">
        <v>0</v>
      </c>
      <c r="R496" s="290">
        <v>0</v>
      </c>
      <c r="S496"/>
      <c r="T496"/>
      <c r="U496"/>
      <c r="V496"/>
    </row>
    <row r="497" spans="1:22">
      <c r="A497" s="285"/>
      <c r="B497" s="595" t="s">
        <v>592</v>
      </c>
      <c r="C497" s="596">
        <v>-0.20240941246499958</v>
      </c>
      <c r="D497" s="597">
        <v>-0.61411385219415782</v>
      </c>
      <c r="E497" s="597">
        <v>-2.2523085211592839</v>
      </c>
      <c r="F497" s="597">
        <v>1.3587897928130144</v>
      </c>
      <c r="G497" s="597">
        <v>0.36939890710382511</v>
      </c>
      <c r="H497" s="597">
        <v>-0.85467729039728702</v>
      </c>
      <c r="I497" s="597">
        <v>0</v>
      </c>
      <c r="J497" s="598">
        <v>-0.93905548120983495</v>
      </c>
      <c r="K497" s="596">
        <v>0</v>
      </c>
      <c r="L497" s="597">
        <v>0</v>
      </c>
      <c r="M497" s="597">
        <v>0</v>
      </c>
      <c r="N497" s="597">
        <v>0</v>
      </c>
      <c r="O497" s="596">
        <v>0</v>
      </c>
      <c r="P497" s="599">
        <v>0</v>
      </c>
      <c r="Q497" s="597">
        <v>0</v>
      </c>
      <c r="R497" s="600">
        <v>0</v>
      </c>
      <c r="S497"/>
      <c r="T497"/>
      <c r="U497"/>
      <c r="V497"/>
    </row>
    <row r="498" spans="1:22">
      <c r="A498" s="285"/>
      <c r="B498" s="264" t="s">
        <v>593</v>
      </c>
      <c r="C498" s="281">
        <v>7.9342196124165029E-2</v>
      </c>
      <c r="D498" s="282">
        <v>0.25099491569723004</v>
      </c>
      <c r="E498" s="282">
        <v>0.17958498722243596</v>
      </c>
      <c r="F498" s="282">
        <v>0.52247761261362868</v>
      </c>
      <c r="G498" s="282">
        <v>0.13169398907103824</v>
      </c>
      <c r="H498" s="282">
        <v>4.1189931350114416E-2</v>
      </c>
      <c r="I498" s="282">
        <v>0</v>
      </c>
      <c r="J498" s="283">
        <v>0.14132490500654507</v>
      </c>
      <c r="K498" s="281">
        <v>0</v>
      </c>
      <c r="L498" s="282">
        <v>0</v>
      </c>
      <c r="M498" s="282">
        <v>0</v>
      </c>
      <c r="N498" s="282">
        <v>0</v>
      </c>
      <c r="O498" s="281">
        <v>0</v>
      </c>
      <c r="P498" s="281">
        <v>0</v>
      </c>
      <c r="Q498" s="282">
        <v>0</v>
      </c>
      <c r="R498" s="284">
        <v>0</v>
      </c>
      <c r="S498"/>
      <c r="T498"/>
      <c r="U498"/>
      <c r="V498"/>
    </row>
    <row r="499" spans="1:22">
      <c r="A499" s="285"/>
      <c r="B499" s="286" t="s">
        <v>594</v>
      </c>
      <c r="C499" s="287">
        <v>0.10261993943987376</v>
      </c>
      <c r="D499" s="288">
        <v>0.27576254627264335</v>
      </c>
      <c r="E499" s="288">
        <v>0.26072601276256879</v>
      </c>
      <c r="F499" s="288">
        <v>0.55888869950570985</v>
      </c>
      <c r="G499" s="288">
        <v>0.21920000000000001</v>
      </c>
      <c r="H499" s="288">
        <v>4.2168674698795178E-2</v>
      </c>
      <c r="I499" s="288">
        <v>0</v>
      </c>
      <c r="J499" s="289">
        <v>0.18399921612575076</v>
      </c>
      <c r="K499" s="287">
        <v>0</v>
      </c>
      <c r="L499" s="288">
        <v>0</v>
      </c>
      <c r="M499" s="288">
        <v>0</v>
      </c>
      <c r="N499" s="288">
        <v>0</v>
      </c>
      <c r="O499" s="287">
        <v>0</v>
      </c>
      <c r="P499" s="287">
        <v>0</v>
      </c>
      <c r="Q499" s="288">
        <v>0</v>
      </c>
      <c r="R499" s="290">
        <v>0</v>
      </c>
      <c r="S499"/>
      <c r="T499"/>
      <c r="U499"/>
      <c r="V499"/>
    </row>
    <row r="500" spans="1:22">
      <c r="A500" s="285"/>
      <c r="B500" s="595" t="s">
        <v>595</v>
      </c>
      <c r="C500" s="596">
        <v>2.3277743315708728</v>
      </c>
      <c r="D500" s="597">
        <v>2.4767630575413313</v>
      </c>
      <c r="E500" s="597">
        <v>8.1141025540132841</v>
      </c>
      <c r="F500" s="597">
        <v>3.6411086892081168</v>
      </c>
      <c r="G500" s="597">
        <v>8.7506010928961757</v>
      </c>
      <c r="H500" s="597">
        <v>9.7874334868076202E-2</v>
      </c>
      <c r="I500" s="597">
        <v>0</v>
      </c>
      <c r="J500" s="598">
        <v>4.267431111920569</v>
      </c>
      <c r="K500" s="596">
        <v>0</v>
      </c>
      <c r="L500" s="597">
        <v>0</v>
      </c>
      <c r="M500" s="597">
        <v>0</v>
      </c>
      <c r="N500" s="597">
        <v>0</v>
      </c>
      <c r="O500" s="596">
        <v>0</v>
      </c>
      <c r="P500" s="599">
        <v>0</v>
      </c>
      <c r="Q500" s="597">
        <v>0</v>
      </c>
      <c r="R500" s="600">
        <v>0</v>
      </c>
      <c r="S500"/>
      <c r="T500"/>
      <c r="U500"/>
      <c r="V500"/>
    </row>
    <row r="501" spans="1:22">
      <c r="A501" s="285"/>
      <c r="B501" s="264" t="s">
        <v>596</v>
      </c>
      <c r="C501" s="281">
        <v>1.1984399769102518E-3</v>
      </c>
      <c r="D501" s="282">
        <v>4.7045827764928671E-3</v>
      </c>
      <c r="E501" s="282">
        <v>4.2023640839409324E-3</v>
      </c>
      <c r="F501" s="282">
        <v>0</v>
      </c>
      <c r="G501" s="282">
        <v>5.1912568306010931E-2</v>
      </c>
      <c r="H501" s="282">
        <v>0</v>
      </c>
      <c r="I501" s="282">
        <v>0</v>
      </c>
      <c r="J501" s="283">
        <v>2.6884595538920579E-3</v>
      </c>
      <c r="K501" s="281">
        <v>0</v>
      </c>
      <c r="L501" s="282">
        <v>0</v>
      </c>
      <c r="M501" s="282">
        <v>0</v>
      </c>
      <c r="N501" s="282">
        <v>0</v>
      </c>
      <c r="O501" s="281">
        <v>0</v>
      </c>
      <c r="P501" s="281">
        <v>0</v>
      </c>
      <c r="Q501" s="282">
        <v>0</v>
      </c>
      <c r="R501" s="284">
        <v>0</v>
      </c>
      <c r="S501"/>
      <c r="T501"/>
      <c r="U501"/>
      <c r="V501"/>
    </row>
    <row r="502" spans="1:22">
      <c r="A502" s="285"/>
      <c r="B502" s="286" t="s">
        <v>597</v>
      </c>
      <c r="C502" s="287">
        <v>5.4829981290069828E-4</v>
      </c>
      <c r="D502" s="288">
        <v>2.7741177946883936E-3</v>
      </c>
      <c r="E502" s="288">
        <v>4.6118114959827977E-3</v>
      </c>
      <c r="F502" s="288">
        <v>1.6810124424748593E-2</v>
      </c>
      <c r="G502" s="288">
        <v>7.0933333333333334E-2</v>
      </c>
      <c r="H502" s="288">
        <v>0</v>
      </c>
      <c r="I502" s="288">
        <v>0</v>
      </c>
      <c r="J502" s="289">
        <v>2.6874281735828468E-3</v>
      </c>
      <c r="K502" s="287">
        <v>0</v>
      </c>
      <c r="L502" s="288">
        <v>0</v>
      </c>
      <c r="M502" s="288">
        <v>0</v>
      </c>
      <c r="N502" s="288">
        <v>0</v>
      </c>
      <c r="O502" s="287">
        <v>0</v>
      </c>
      <c r="P502" s="287">
        <v>0</v>
      </c>
      <c r="Q502" s="288">
        <v>0</v>
      </c>
      <c r="R502" s="290">
        <v>0</v>
      </c>
      <c r="S502"/>
      <c r="T502"/>
      <c r="U502"/>
      <c r="V502"/>
    </row>
    <row r="503" spans="1:22">
      <c r="A503" s="285"/>
      <c r="B503" s="595" t="s">
        <v>598</v>
      </c>
      <c r="C503" s="596">
        <v>-6.501401640095536E-2</v>
      </c>
      <c r="D503" s="597">
        <v>-0.19304649818044733</v>
      </c>
      <c r="E503" s="597">
        <v>4.0944741204186536E-2</v>
      </c>
      <c r="F503" s="597">
        <v>0</v>
      </c>
      <c r="G503" s="597">
        <v>1.9020765027322404</v>
      </c>
      <c r="H503" s="597">
        <v>0</v>
      </c>
      <c r="I503" s="597">
        <v>0</v>
      </c>
      <c r="J503" s="598">
        <v>-1.0313803092110684E-4</v>
      </c>
      <c r="K503" s="596">
        <v>0</v>
      </c>
      <c r="L503" s="597">
        <v>0</v>
      </c>
      <c r="M503" s="597">
        <v>0</v>
      </c>
      <c r="N503" s="597">
        <v>0</v>
      </c>
      <c r="O503" s="596">
        <v>0</v>
      </c>
      <c r="P503" s="599">
        <v>0</v>
      </c>
      <c r="Q503" s="597">
        <v>0</v>
      </c>
      <c r="R503" s="600">
        <v>0</v>
      </c>
      <c r="S503"/>
      <c r="T503"/>
      <c r="U503"/>
      <c r="V503"/>
    </row>
    <row r="504" spans="1:22">
      <c r="A504" s="285"/>
      <c r="B504" s="264" t="s">
        <v>599</v>
      </c>
      <c r="C504" s="281">
        <v>1.7043828522480761E-3</v>
      </c>
      <c r="D504" s="282">
        <v>0</v>
      </c>
      <c r="E504" s="282">
        <v>0.12418947704261168</v>
      </c>
      <c r="F504" s="282">
        <v>2.0300904518079085E-2</v>
      </c>
      <c r="G504" s="282">
        <v>1.092896174863388E-3</v>
      </c>
      <c r="H504" s="282">
        <v>0</v>
      </c>
      <c r="I504" s="282">
        <v>0</v>
      </c>
      <c r="J504" s="283">
        <v>4.2811879307835143E-2</v>
      </c>
      <c r="K504" s="281">
        <v>0</v>
      </c>
      <c r="L504" s="282">
        <v>0</v>
      </c>
      <c r="M504" s="282">
        <v>0</v>
      </c>
      <c r="N504" s="282">
        <v>0</v>
      </c>
      <c r="O504" s="281">
        <v>0</v>
      </c>
      <c r="P504" s="281">
        <v>0</v>
      </c>
      <c r="Q504" s="282">
        <v>0</v>
      </c>
      <c r="R504" s="284">
        <v>0</v>
      </c>
      <c r="S504"/>
      <c r="T504"/>
      <c r="U504"/>
      <c r="V504"/>
    </row>
    <row r="505" spans="1:22">
      <c r="A505" s="285"/>
      <c r="B505" s="286" t="s">
        <v>600</v>
      </c>
      <c r="C505" s="287">
        <v>5.6404398115093533E-3</v>
      </c>
      <c r="D505" s="288">
        <v>0</v>
      </c>
      <c r="E505" s="288">
        <v>7.3607654519106835E-2</v>
      </c>
      <c r="F505" s="288">
        <v>1.3997784216805864E-2</v>
      </c>
      <c r="G505" s="288">
        <v>0</v>
      </c>
      <c r="H505" s="288">
        <v>2.1084337349397589E-2</v>
      </c>
      <c r="I505" s="288">
        <v>0</v>
      </c>
      <c r="J505" s="289">
        <v>2.7352878325187673E-2</v>
      </c>
      <c r="K505" s="287">
        <v>0</v>
      </c>
      <c r="L505" s="288">
        <v>0</v>
      </c>
      <c r="M505" s="288">
        <v>0</v>
      </c>
      <c r="N505" s="288">
        <v>0</v>
      </c>
      <c r="O505" s="287">
        <v>0</v>
      </c>
      <c r="P505" s="287">
        <v>0</v>
      </c>
      <c r="Q505" s="288">
        <v>0</v>
      </c>
      <c r="R505" s="290">
        <v>0</v>
      </c>
      <c r="S505"/>
      <c r="T505"/>
      <c r="U505"/>
      <c r="V505"/>
    </row>
    <row r="506" spans="1:22">
      <c r="A506" s="285"/>
      <c r="B506" s="595" t="s">
        <v>601</v>
      </c>
      <c r="C506" s="596">
        <v>0.39360569592612776</v>
      </c>
      <c r="D506" s="597">
        <v>0</v>
      </c>
      <c r="E506" s="597">
        <v>-5.0581822523504849</v>
      </c>
      <c r="F506" s="597">
        <v>-0.63031203012732206</v>
      </c>
      <c r="G506" s="597">
        <v>-0.10928961748633879</v>
      </c>
      <c r="H506" s="597">
        <v>0</v>
      </c>
      <c r="I506" s="597">
        <v>0</v>
      </c>
      <c r="J506" s="598">
        <v>-1.5459000982647471</v>
      </c>
      <c r="K506" s="596">
        <v>0</v>
      </c>
      <c r="L506" s="597">
        <v>0</v>
      </c>
      <c r="M506" s="597">
        <v>0</v>
      </c>
      <c r="N506" s="597">
        <v>0</v>
      </c>
      <c r="O506" s="596">
        <v>0</v>
      </c>
      <c r="P506" s="599">
        <v>0</v>
      </c>
      <c r="Q506" s="597">
        <v>0</v>
      </c>
      <c r="R506" s="600">
        <v>0</v>
      </c>
      <c r="S506"/>
      <c r="T506"/>
      <c r="U506"/>
      <c r="V506"/>
    </row>
    <row r="507" spans="1:22">
      <c r="A507" s="285"/>
      <c r="B507" s="264" t="s">
        <v>602</v>
      </c>
      <c r="C507" s="281">
        <v>0</v>
      </c>
      <c r="D507" s="282">
        <v>0</v>
      </c>
      <c r="E507" s="282">
        <v>0</v>
      </c>
      <c r="F507" s="282">
        <v>0</v>
      </c>
      <c r="G507" s="282">
        <v>0</v>
      </c>
      <c r="H507" s="282">
        <v>0</v>
      </c>
      <c r="I507" s="282">
        <v>0</v>
      </c>
      <c r="J507" s="283">
        <v>0</v>
      </c>
      <c r="K507" s="281">
        <v>0</v>
      </c>
      <c r="L507" s="282">
        <v>0</v>
      </c>
      <c r="M507" s="282">
        <v>0</v>
      </c>
      <c r="N507" s="282">
        <v>0</v>
      </c>
      <c r="O507" s="281">
        <v>0</v>
      </c>
      <c r="P507" s="281">
        <v>0</v>
      </c>
      <c r="Q507" s="282">
        <v>0</v>
      </c>
      <c r="R507" s="284">
        <v>0</v>
      </c>
      <c r="S507"/>
      <c r="T507"/>
      <c r="U507"/>
      <c r="V507"/>
    </row>
    <row r="508" spans="1:22">
      <c r="A508" s="285"/>
      <c r="B508" s="286" t="s">
        <v>603</v>
      </c>
      <c r="C508" s="287">
        <v>0</v>
      </c>
      <c r="D508" s="288">
        <v>0</v>
      </c>
      <c r="E508" s="288">
        <v>0</v>
      </c>
      <c r="F508" s="288">
        <v>0</v>
      </c>
      <c r="G508" s="288">
        <v>0</v>
      </c>
      <c r="H508" s="288">
        <v>0</v>
      </c>
      <c r="I508" s="288">
        <v>0</v>
      </c>
      <c r="J508" s="289">
        <v>0</v>
      </c>
      <c r="K508" s="287">
        <v>0</v>
      </c>
      <c r="L508" s="288">
        <v>0</v>
      </c>
      <c r="M508" s="288">
        <v>0</v>
      </c>
      <c r="N508" s="288">
        <v>0</v>
      </c>
      <c r="O508" s="287">
        <v>0</v>
      </c>
      <c r="P508" s="287">
        <v>0</v>
      </c>
      <c r="Q508" s="288">
        <v>0</v>
      </c>
      <c r="R508" s="290">
        <v>0</v>
      </c>
      <c r="S508"/>
      <c r="T508"/>
      <c r="U508"/>
      <c r="V508"/>
    </row>
    <row r="509" spans="1:22">
      <c r="A509" s="292"/>
      <c r="B509" s="595" t="s">
        <v>604</v>
      </c>
      <c r="C509" s="596">
        <v>0</v>
      </c>
      <c r="D509" s="597">
        <v>0</v>
      </c>
      <c r="E509" s="597">
        <v>0</v>
      </c>
      <c r="F509" s="597">
        <v>0</v>
      </c>
      <c r="G509" s="597">
        <v>0</v>
      </c>
      <c r="H509" s="597">
        <v>0</v>
      </c>
      <c r="I509" s="597">
        <v>0</v>
      </c>
      <c r="J509" s="598">
        <v>0</v>
      </c>
      <c r="K509" s="596">
        <v>0</v>
      </c>
      <c r="L509" s="597">
        <v>0</v>
      </c>
      <c r="M509" s="597">
        <v>0</v>
      </c>
      <c r="N509" s="597">
        <v>0</v>
      </c>
      <c r="O509" s="596">
        <v>0</v>
      </c>
      <c r="P509" s="599">
        <v>0</v>
      </c>
      <c r="Q509" s="597">
        <v>0</v>
      </c>
      <c r="R509" s="600">
        <v>0</v>
      </c>
      <c r="S509"/>
      <c r="T509"/>
      <c r="U509"/>
      <c r="V509"/>
    </row>
    <row r="510" spans="1:22">
      <c r="A510" s="280" t="s">
        <v>542</v>
      </c>
      <c r="B510" s="264" t="s">
        <v>569</v>
      </c>
      <c r="C510" s="281">
        <v>0</v>
      </c>
      <c r="D510" s="282">
        <v>0</v>
      </c>
      <c r="E510" s="282">
        <v>0</v>
      </c>
      <c r="F510" s="282">
        <v>0</v>
      </c>
      <c r="G510" s="282">
        <v>0</v>
      </c>
      <c r="H510" s="282">
        <v>0</v>
      </c>
      <c r="I510" s="282">
        <v>0</v>
      </c>
      <c r="J510" s="283">
        <v>0</v>
      </c>
      <c r="K510" s="281">
        <v>0</v>
      </c>
      <c r="L510" s="282">
        <v>0</v>
      </c>
      <c r="M510" s="282">
        <v>0</v>
      </c>
      <c r="N510" s="282">
        <v>0</v>
      </c>
      <c r="O510" s="281">
        <v>0</v>
      </c>
      <c r="P510" s="281">
        <v>0</v>
      </c>
      <c r="Q510" s="282">
        <v>0</v>
      </c>
      <c r="R510" s="284">
        <v>0</v>
      </c>
      <c r="S510"/>
      <c r="T510"/>
      <c r="U510"/>
      <c r="V510"/>
    </row>
    <row r="511" spans="1:22">
      <c r="A511" s="285"/>
      <c r="B511" s="286" t="s">
        <v>570</v>
      </c>
      <c r="C511" s="287">
        <v>0.93734946053039003</v>
      </c>
      <c r="D511" s="288">
        <v>0.97048296708604442</v>
      </c>
      <c r="E511" s="288">
        <v>0.96096778445481612</v>
      </c>
      <c r="F511" s="288">
        <v>0.96105104806279595</v>
      </c>
      <c r="G511" s="288">
        <v>0.97700540626430543</v>
      </c>
      <c r="H511" s="288">
        <v>0.95030607433769376</v>
      </c>
      <c r="I511" s="288">
        <v>0</v>
      </c>
      <c r="J511" s="289">
        <v>0.95187980927339544</v>
      </c>
      <c r="K511" s="287">
        <v>0</v>
      </c>
      <c r="L511" s="288">
        <v>0.71155371229742392</v>
      </c>
      <c r="M511" s="288">
        <v>0.57566574451460306</v>
      </c>
      <c r="N511" s="288">
        <v>0.48387067666459127</v>
      </c>
      <c r="O511" s="287">
        <v>0.6406455617431891</v>
      </c>
      <c r="P511" s="287">
        <v>0</v>
      </c>
      <c r="Q511" s="288">
        <v>0</v>
      </c>
      <c r="R511" s="290">
        <v>0</v>
      </c>
      <c r="S511"/>
      <c r="T511"/>
      <c r="U511"/>
      <c r="V511"/>
    </row>
    <row r="512" spans="1:22">
      <c r="A512" s="285"/>
      <c r="B512" s="595" t="s">
        <v>571</v>
      </c>
      <c r="C512" s="596">
        <v>0</v>
      </c>
      <c r="D512" s="597">
        <v>0</v>
      </c>
      <c r="E512" s="597">
        <v>0</v>
      </c>
      <c r="F512" s="597">
        <v>0</v>
      </c>
      <c r="G512" s="597">
        <v>0</v>
      </c>
      <c r="H512" s="597">
        <v>0</v>
      </c>
      <c r="I512" s="597">
        <v>0</v>
      </c>
      <c r="J512" s="598">
        <v>0</v>
      </c>
      <c r="K512" s="596">
        <v>0</v>
      </c>
      <c r="L512" s="597">
        <v>0</v>
      </c>
      <c r="M512" s="597">
        <v>0</v>
      </c>
      <c r="N512" s="597">
        <v>0</v>
      </c>
      <c r="O512" s="596">
        <v>0</v>
      </c>
      <c r="P512" s="599">
        <v>0</v>
      </c>
      <c r="Q512" s="597">
        <v>0</v>
      </c>
      <c r="R512" s="600">
        <v>0</v>
      </c>
      <c r="S512"/>
      <c r="T512"/>
      <c r="U512"/>
      <c r="V512"/>
    </row>
    <row r="513" spans="1:22">
      <c r="A513" s="285"/>
      <c r="B513" s="264" t="s">
        <v>572</v>
      </c>
      <c r="C513" s="281">
        <v>0</v>
      </c>
      <c r="D513" s="282">
        <v>0</v>
      </c>
      <c r="E513" s="282">
        <v>0</v>
      </c>
      <c r="F513" s="282">
        <v>0</v>
      </c>
      <c r="G513" s="282">
        <v>0</v>
      </c>
      <c r="H513" s="282">
        <v>0</v>
      </c>
      <c r="I513" s="282">
        <v>0</v>
      </c>
      <c r="J513" s="283">
        <v>0</v>
      </c>
      <c r="K513" s="281">
        <v>0</v>
      </c>
      <c r="L513" s="282">
        <v>0</v>
      </c>
      <c r="M513" s="282">
        <v>0</v>
      </c>
      <c r="N513" s="282">
        <v>0</v>
      </c>
      <c r="O513" s="281">
        <v>0</v>
      </c>
      <c r="P513" s="281">
        <v>0</v>
      </c>
      <c r="Q513" s="282">
        <v>0</v>
      </c>
      <c r="R513" s="284">
        <v>0</v>
      </c>
      <c r="S513"/>
      <c r="T513"/>
      <c r="U513"/>
      <c r="V513"/>
    </row>
    <row r="514" spans="1:22">
      <c r="A514" s="285"/>
      <c r="B514" s="286" t="s">
        <v>573</v>
      </c>
      <c r="C514" s="287">
        <v>2.3933836193857666E-2</v>
      </c>
      <c r="D514" s="288">
        <v>1.046589687686094E-2</v>
      </c>
      <c r="E514" s="288">
        <v>1.0934232836250127E-2</v>
      </c>
      <c r="F514" s="288">
        <v>1.8803278720510734E-2</v>
      </c>
      <c r="G514" s="288">
        <v>1.3052212633785179E-3</v>
      </c>
      <c r="H514" s="288">
        <v>9.8440924595040863E-3</v>
      </c>
      <c r="I514" s="288">
        <v>0</v>
      </c>
      <c r="J514" s="289">
        <v>1.7559924076971396E-2</v>
      </c>
      <c r="K514" s="287">
        <v>0</v>
      </c>
      <c r="L514" s="288">
        <v>6.2808535988434527E-2</v>
      </c>
      <c r="M514" s="288">
        <v>0.20255235229999236</v>
      </c>
      <c r="N514" s="288">
        <v>0.18906048383458307</v>
      </c>
      <c r="O514" s="287">
        <v>0.1230853539190666</v>
      </c>
      <c r="P514" s="287">
        <v>0</v>
      </c>
      <c r="Q514" s="288">
        <v>0</v>
      </c>
      <c r="R514" s="290">
        <v>0</v>
      </c>
      <c r="S514"/>
      <c r="T514"/>
      <c r="U514"/>
      <c r="V514"/>
    </row>
    <row r="515" spans="1:22">
      <c r="A515" s="285"/>
      <c r="B515" s="595" t="s">
        <v>574</v>
      </c>
      <c r="C515" s="596">
        <v>0</v>
      </c>
      <c r="D515" s="597">
        <v>0</v>
      </c>
      <c r="E515" s="597">
        <v>0</v>
      </c>
      <c r="F515" s="597">
        <v>0</v>
      </c>
      <c r="G515" s="597">
        <v>0</v>
      </c>
      <c r="H515" s="597">
        <v>0</v>
      </c>
      <c r="I515" s="597">
        <v>0</v>
      </c>
      <c r="J515" s="598">
        <v>0</v>
      </c>
      <c r="K515" s="596">
        <v>0</v>
      </c>
      <c r="L515" s="597">
        <v>0</v>
      </c>
      <c r="M515" s="597">
        <v>0</v>
      </c>
      <c r="N515" s="597">
        <v>0</v>
      </c>
      <c r="O515" s="596">
        <v>0</v>
      </c>
      <c r="P515" s="599">
        <v>0</v>
      </c>
      <c r="Q515" s="597">
        <v>0</v>
      </c>
      <c r="R515" s="600">
        <v>0</v>
      </c>
      <c r="S515"/>
      <c r="T515"/>
      <c r="U515"/>
      <c r="V515"/>
    </row>
    <row r="516" spans="1:22">
      <c r="A516" s="285"/>
      <c r="B516" s="264" t="s">
        <v>575</v>
      </c>
      <c r="C516" s="281">
        <v>0</v>
      </c>
      <c r="D516" s="282">
        <v>0</v>
      </c>
      <c r="E516" s="282">
        <v>0</v>
      </c>
      <c r="F516" s="282">
        <v>0</v>
      </c>
      <c r="G516" s="282">
        <v>0</v>
      </c>
      <c r="H516" s="282">
        <v>0</v>
      </c>
      <c r="I516" s="282">
        <v>0</v>
      </c>
      <c r="J516" s="283">
        <v>0</v>
      </c>
      <c r="K516" s="281">
        <v>0</v>
      </c>
      <c r="L516" s="282">
        <v>0</v>
      </c>
      <c r="M516" s="282">
        <v>0</v>
      </c>
      <c r="N516" s="282">
        <v>0</v>
      </c>
      <c r="O516" s="281">
        <v>0</v>
      </c>
      <c r="P516" s="281">
        <v>0</v>
      </c>
      <c r="Q516" s="282">
        <v>0</v>
      </c>
      <c r="R516" s="284">
        <v>0</v>
      </c>
      <c r="S516"/>
      <c r="T516"/>
      <c r="U516"/>
      <c r="V516"/>
    </row>
    <row r="517" spans="1:22">
      <c r="A517" s="285"/>
      <c r="B517" s="286" t="s">
        <v>576</v>
      </c>
      <c r="C517" s="287">
        <v>2.246463571262251E-2</v>
      </c>
      <c r="D517" s="288">
        <v>1.9051136037094688E-2</v>
      </c>
      <c r="E517" s="288">
        <v>2.8097982708933718E-2</v>
      </c>
      <c r="F517" s="288">
        <v>1.8752548695945694E-2</v>
      </c>
      <c r="G517" s="288">
        <v>2.1224032717546335E-2</v>
      </c>
      <c r="H517" s="288">
        <v>3.984983320280211E-2</v>
      </c>
      <c r="I517" s="288">
        <v>0</v>
      </c>
      <c r="J517" s="289">
        <v>2.2381223538809863E-2</v>
      </c>
      <c r="K517" s="287">
        <v>0</v>
      </c>
      <c r="L517" s="288">
        <v>0.22286970247739457</v>
      </c>
      <c r="M517" s="288">
        <v>0.19196493114724272</v>
      </c>
      <c r="N517" s="288">
        <v>0.25672243126426825</v>
      </c>
      <c r="O517" s="287">
        <v>0.21677830313623667</v>
      </c>
      <c r="P517" s="287">
        <v>0</v>
      </c>
      <c r="Q517" s="288">
        <v>0</v>
      </c>
      <c r="R517" s="290">
        <v>0</v>
      </c>
      <c r="S517"/>
      <c r="T517"/>
      <c r="U517"/>
      <c r="V517"/>
    </row>
    <row r="518" spans="1:22">
      <c r="A518" s="285"/>
      <c r="B518" s="595" t="s">
        <v>577</v>
      </c>
      <c r="C518" s="596">
        <v>0</v>
      </c>
      <c r="D518" s="597">
        <v>0</v>
      </c>
      <c r="E518" s="597">
        <v>0</v>
      </c>
      <c r="F518" s="597">
        <v>0</v>
      </c>
      <c r="G518" s="597">
        <v>0</v>
      </c>
      <c r="H518" s="597">
        <v>0</v>
      </c>
      <c r="I518" s="597">
        <v>0</v>
      </c>
      <c r="J518" s="598">
        <v>0</v>
      </c>
      <c r="K518" s="596">
        <v>0</v>
      </c>
      <c r="L518" s="597">
        <v>0</v>
      </c>
      <c r="M518" s="597">
        <v>0</v>
      </c>
      <c r="N518" s="597">
        <v>0</v>
      </c>
      <c r="O518" s="596">
        <v>0</v>
      </c>
      <c r="P518" s="599">
        <v>0</v>
      </c>
      <c r="Q518" s="597">
        <v>0</v>
      </c>
      <c r="R518" s="600">
        <v>0</v>
      </c>
      <c r="S518"/>
      <c r="T518"/>
      <c r="U518"/>
      <c r="V518"/>
    </row>
    <row r="519" spans="1:22">
      <c r="A519" s="285"/>
      <c r="B519" s="264" t="s">
        <v>578</v>
      </c>
      <c r="C519" s="281">
        <v>0</v>
      </c>
      <c r="D519" s="282">
        <v>0</v>
      </c>
      <c r="E519" s="282">
        <v>0</v>
      </c>
      <c r="F519" s="282">
        <v>0</v>
      </c>
      <c r="G519" s="282">
        <v>0</v>
      </c>
      <c r="H519" s="282">
        <v>0</v>
      </c>
      <c r="I519" s="282">
        <v>0</v>
      </c>
      <c r="J519" s="283">
        <v>0</v>
      </c>
      <c r="K519" s="281">
        <v>0</v>
      </c>
      <c r="L519" s="282">
        <v>0</v>
      </c>
      <c r="M519" s="282">
        <v>0</v>
      </c>
      <c r="N519" s="282">
        <v>0</v>
      </c>
      <c r="O519" s="281">
        <v>0</v>
      </c>
      <c r="P519" s="281">
        <v>0</v>
      </c>
      <c r="Q519" s="282">
        <v>0</v>
      </c>
      <c r="R519" s="284">
        <v>0</v>
      </c>
      <c r="S519"/>
      <c r="T519"/>
      <c r="U519"/>
      <c r="V519"/>
    </row>
    <row r="520" spans="1:22">
      <c r="A520" s="285"/>
      <c r="B520" s="286" t="s">
        <v>579</v>
      </c>
      <c r="C520" s="287">
        <v>1.6252067563129743E-2</v>
      </c>
      <c r="D520" s="288">
        <v>0</v>
      </c>
      <c r="E520" s="288">
        <v>0</v>
      </c>
      <c r="F520" s="288">
        <v>1.3931245207476045E-3</v>
      </c>
      <c r="G520" s="288">
        <v>4.653397547697325E-4</v>
      </c>
      <c r="H520" s="288">
        <v>0</v>
      </c>
      <c r="I520" s="288">
        <v>0</v>
      </c>
      <c r="J520" s="289">
        <v>8.1790431108233544E-3</v>
      </c>
      <c r="K520" s="287">
        <v>0</v>
      </c>
      <c r="L520" s="288">
        <v>2.7680492367469444E-3</v>
      </c>
      <c r="M520" s="288">
        <v>2.9816972038161825E-2</v>
      </c>
      <c r="N520" s="288">
        <v>7.0346408236557398E-2</v>
      </c>
      <c r="O520" s="287">
        <v>1.949078120150766E-2</v>
      </c>
      <c r="P520" s="287">
        <v>0</v>
      </c>
      <c r="Q520" s="288">
        <v>0</v>
      </c>
      <c r="R520" s="290">
        <v>0</v>
      </c>
      <c r="S520"/>
      <c r="T520"/>
      <c r="U520"/>
      <c r="V520"/>
    </row>
    <row r="521" spans="1:22">
      <c r="A521" s="285"/>
      <c r="B521" s="595" t="s">
        <v>580</v>
      </c>
      <c r="C521" s="596">
        <v>0</v>
      </c>
      <c r="D521" s="597">
        <v>0</v>
      </c>
      <c r="E521" s="597">
        <v>0</v>
      </c>
      <c r="F521" s="597">
        <v>0</v>
      </c>
      <c r="G521" s="597">
        <v>0</v>
      </c>
      <c r="H521" s="597">
        <v>0</v>
      </c>
      <c r="I521" s="597">
        <v>0</v>
      </c>
      <c r="J521" s="598">
        <v>0</v>
      </c>
      <c r="K521" s="596">
        <v>0</v>
      </c>
      <c r="L521" s="597">
        <v>0</v>
      </c>
      <c r="M521" s="597">
        <v>0</v>
      </c>
      <c r="N521" s="597">
        <v>0</v>
      </c>
      <c r="O521" s="596">
        <v>0</v>
      </c>
      <c r="P521" s="599">
        <v>0</v>
      </c>
      <c r="Q521" s="597">
        <v>0</v>
      </c>
      <c r="R521" s="600">
        <v>0</v>
      </c>
      <c r="S521"/>
      <c r="T521"/>
      <c r="U521"/>
      <c r="V521"/>
    </row>
    <row r="522" spans="1:22">
      <c r="A522" s="285"/>
      <c r="B522" s="264" t="s">
        <v>581</v>
      </c>
      <c r="C522" s="281">
        <v>0</v>
      </c>
      <c r="D522" s="282">
        <v>0</v>
      </c>
      <c r="E522" s="282">
        <v>0</v>
      </c>
      <c r="F522" s="282">
        <v>0</v>
      </c>
      <c r="G522" s="282">
        <v>0</v>
      </c>
      <c r="H522" s="282">
        <v>0</v>
      </c>
      <c r="I522" s="282">
        <v>0</v>
      </c>
      <c r="J522" s="283">
        <v>0</v>
      </c>
      <c r="K522" s="281">
        <v>0</v>
      </c>
      <c r="L522" s="282">
        <v>0</v>
      </c>
      <c r="M522" s="282">
        <v>0</v>
      </c>
      <c r="N522" s="282">
        <v>0</v>
      </c>
      <c r="O522" s="281">
        <v>0</v>
      </c>
      <c r="P522" s="281">
        <v>0</v>
      </c>
      <c r="Q522" s="282">
        <v>0</v>
      </c>
      <c r="R522" s="284">
        <v>0</v>
      </c>
      <c r="S522"/>
      <c r="T522"/>
      <c r="U522"/>
      <c r="V522"/>
    </row>
    <row r="523" spans="1:22">
      <c r="A523" s="285"/>
      <c r="B523" s="286" t="s">
        <v>582</v>
      </c>
      <c r="C523" s="287">
        <v>0</v>
      </c>
      <c r="D523" s="288">
        <v>0</v>
      </c>
      <c r="E523" s="288">
        <v>0</v>
      </c>
      <c r="F523" s="288">
        <v>0</v>
      </c>
      <c r="G523" s="288">
        <v>0</v>
      </c>
      <c r="H523" s="288">
        <v>0</v>
      </c>
      <c r="I523" s="288">
        <v>0</v>
      </c>
      <c r="J523" s="289">
        <v>0</v>
      </c>
      <c r="K523" s="287">
        <v>0</v>
      </c>
      <c r="L523" s="288">
        <v>0</v>
      </c>
      <c r="M523" s="288">
        <v>0</v>
      </c>
      <c r="N523" s="288">
        <v>0</v>
      </c>
      <c r="O523" s="287">
        <v>0</v>
      </c>
      <c r="P523" s="287">
        <v>0</v>
      </c>
      <c r="Q523" s="288">
        <v>0</v>
      </c>
      <c r="R523" s="290">
        <v>0</v>
      </c>
      <c r="S523"/>
      <c r="T523"/>
      <c r="U523"/>
      <c r="V523"/>
    </row>
    <row r="524" spans="1:22">
      <c r="A524" s="285"/>
      <c r="B524" s="595" t="s">
        <v>583</v>
      </c>
      <c r="C524" s="596">
        <v>0</v>
      </c>
      <c r="D524" s="597">
        <v>0</v>
      </c>
      <c r="E524" s="597">
        <v>0</v>
      </c>
      <c r="F524" s="597">
        <v>0</v>
      </c>
      <c r="G524" s="597">
        <v>0</v>
      </c>
      <c r="H524" s="597">
        <v>0</v>
      </c>
      <c r="I524" s="597">
        <v>0</v>
      </c>
      <c r="J524" s="598">
        <v>0</v>
      </c>
      <c r="K524" s="596">
        <v>0</v>
      </c>
      <c r="L524" s="597">
        <v>0</v>
      </c>
      <c r="M524" s="597">
        <v>0</v>
      </c>
      <c r="N524" s="597">
        <v>0</v>
      </c>
      <c r="O524" s="596">
        <v>0</v>
      </c>
      <c r="P524" s="599">
        <v>0</v>
      </c>
      <c r="Q524" s="597">
        <v>0</v>
      </c>
      <c r="R524" s="600">
        <v>0</v>
      </c>
      <c r="S524"/>
      <c r="T524"/>
      <c r="U524"/>
      <c r="V524"/>
    </row>
    <row r="525" spans="1:22">
      <c r="A525" s="285"/>
      <c r="B525" s="264" t="s">
        <v>584</v>
      </c>
      <c r="C525" s="281">
        <v>0</v>
      </c>
      <c r="D525" s="282">
        <v>0</v>
      </c>
      <c r="E525" s="282">
        <v>0</v>
      </c>
      <c r="F525" s="282">
        <v>0</v>
      </c>
      <c r="G525" s="282">
        <v>0</v>
      </c>
      <c r="H525" s="282">
        <v>0</v>
      </c>
      <c r="I525" s="282">
        <v>0</v>
      </c>
      <c r="J525" s="283">
        <v>0</v>
      </c>
      <c r="K525" s="281">
        <v>0</v>
      </c>
      <c r="L525" s="282">
        <v>0</v>
      </c>
      <c r="M525" s="282">
        <v>0</v>
      </c>
      <c r="N525" s="282">
        <v>0</v>
      </c>
      <c r="O525" s="281">
        <v>0</v>
      </c>
      <c r="P525" s="281">
        <v>0</v>
      </c>
      <c r="Q525" s="282">
        <v>0</v>
      </c>
      <c r="R525" s="284">
        <v>0</v>
      </c>
      <c r="S525"/>
      <c r="T525"/>
      <c r="U525"/>
      <c r="V525"/>
    </row>
    <row r="526" spans="1:22">
      <c r="A526" s="285"/>
      <c r="B526" s="286" t="s">
        <v>585</v>
      </c>
      <c r="C526" s="287">
        <v>0</v>
      </c>
      <c r="D526" s="288">
        <v>0</v>
      </c>
      <c r="E526" s="288">
        <v>0</v>
      </c>
      <c r="F526" s="288">
        <v>0</v>
      </c>
      <c r="G526" s="288">
        <v>0</v>
      </c>
      <c r="H526" s="288">
        <v>0</v>
      </c>
      <c r="I526" s="288">
        <v>0</v>
      </c>
      <c r="J526" s="289">
        <v>0</v>
      </c>
      <c r="K526" s="287">
        <v>0</v>
      </c>
      <c r="L526" s="288">
        <v>0</v>
      </c>
      <c r="M526" s="288">
        <v>0</v>
      </c>
      <c r="N526" s="288">
        <v>0</v>
      </c>
      <c r="O526" s="287">
        <v>0</v>
      </c>
      <c r="P526" s="287">
        <v>0</v>
      </c>
      <c r="Q526" s="288">
        <v>0</v>
      </c>
      <c r="R526" s="290">
        <v>0</v>
      </c>
      <c r="S526"/>
      <c r="T526"/>
      <c r="U526"/>
      <c r="V526"/>
    </row>
    <row r="527" spans="1:22">
      <c r="A527" s="285"/>
      <c r="B527" s="595" t="s">
        <v>586</v>
      </c>
      <c r="C527" s="596">
        <v>0</v>
      </c>
      <c r="D527" s="597">
        <v>0</v>
      </c>
      <c r="E527" s="597">
        <v>0</v>
      </c>
      <c r="F527" s="597">
        <v>0</v>
      </c>
      <c r="G527" s="597">
        <v>0</v>
      </c>
      <c r="H527" s="597">
        <v>0</v>
      </c>
      <c r="I527" s="597">
        <v>0</v>
      </c>
      <c r="J527" s="598">
        <v>0</v>
      </c>
      <c r="K527" s="596">
        <v>0</v>
      </c>
      <c r="L527" s="597">
        <v>0</v>
      </c>
      <c r="M527" s="597">
        <v>0</v>
      </c>
      <c r="N527" s="597">
        <v>0</v>
      </c>
      <c r="O527" s="596">
        <v>0</v>
      </c>
      <c r="P527" s="599">
        <v>0</v>
      </c>
      <c r="Q527" s="597">
        <v>0</v>
      </c>
      <c r="R527" s="600">
        <v>0</v>
      </c>
      <c r="S527"/>
      <c r="T527"/>
      <c r="U527"/>
      <c r="V527"/>
    </row>
    <row r="528" spans="1:22">
      <c r="A528" s="285"/>
      <c r="B528" s="264" t="s">
        <v>587</v>
      </c>
      <c r="C528" s="281">
        <v>0</v>
      </c>
      <c r="D528" s="282">
        <v>0</v>
      </c>
      <c r="E528" s="282">
        <v>0</v>
      </c>
      <c r="F528" s="282">
        <v>0</v>
      </c>
      <c r="G528" s="282">
        <v>0</v>
      </c>
      <c r="H528" s="282">
        <v>0</v>
      </c>
      <c r="I528" s="282">
        <v>0</v>
      </c>
      <c r="J528" s="283">
        <v>0</v>
      </c>
      <c r="K528" s="281">
        <v>0</v>
      </c>
      <c r="L528" s="282">
        <v>0</v>
      </c>
      <c r="M528" s="282">
        <v>0</v>
      </c>
      <c r="N528" s="282">
        <v>0</v>
      </c>
      <c r="O528" s="281">
        <v>0</v>
      </c>
      <c r="P528" s="281">
        <v>0</v>
      </c>
      <c r="Q528" s="282">
        <v>0</v>
      </c>
      <c r="R528" s="284">
        <v>0</v>
      </c>
      <c r="S528"/>
      <c r="T528"/>
      <c r="U528"/>
      <c r="V528"/>
    </row>
    <row r="529" spans="1:22">
      <c r="A529" s="285"/>
      <c r="B529" s="286" t="s">
        <v>588</v>
      </c>
      <c r="C529" s="287">
        <v>0.7947518350247722</v>
      </c>
      <c r="D529" s="288">
        <v>0.85800830847519294</v>
      </c>
      <c r="E529" s="288">
        <v>0.84373417860837796</v>
      </c>
      <c r="F529" s="288">
        <v>0.72484218343854434</v>
      </c>
      <c r="G529" s="288">
        <v>0.88170116772823781</v>
      </c>
      <c r="H529" s="288">
        <v>0</v>
      </c>
      <c r="I529" s="288">
        <v>0</v>
      </c>
      <c r="J529" s="289">
        <v>0.80994490923504681</v>
      </c>
      <c r="K529" s="287">
        <v>0</v>
      </c>
      <c r="L529" s="288">
        <v>0</v>
      </c>
      <c r="M529" s="288">
        <v>0</v>
      </c>
      <c r="N529" s="288">
        <v>0</v>
      </c>
      <c r="O529" s="287">
        <v>0</v>
      </c>
      <c r="P529" s="287">
        <v>0</v>
      </c>
      <c r="Q529" s="288">
        <v>0</v>
      </c>
      <c r="R529" s="290">
        <v>0</v>
      </c>
      <c r="S529"/>
      <c r="T529"/>
      <c r="U529"/>
      <c r="V529"/>
    </row>
    <row r="530" spans="1:22">
      <c r="A530" s="285"/>
      <c r="B530" s="595" t="s">
        <v>589</v>
      </c>
      <c r="C530" s="596">
        <v>0</v>
      </c>
      <c r="D530" s="597">
        <v>0</v>
      </c>
      <c r="E530" s="597">
        <v>0</v>
      </c>
      <c r="F530" s="597">
        <v>0</v>
      </c>
      <c r="G530" s="597">
        <v>0</v>
      </c>
      <c r="H530" s="597">
        <v>0</v>
      </c>
      <c r="I530" s="597">
        <v>0</v>
      </c>
      <c r="J530" s="598">
        <v>0</v>
      </c>
      <c r="K530" s="596">
        <v>0</v>
      </c>
      <c r="L530" s="597">
        <v>0</v>
      </c>
      <c r="M530" s="597">
        <v>0</v>
      </c>
      <c r="N530" s="597">
        <v>0</v>
      </c>
      <c r="O530" s="596">
        <v>0</v>
      </c>
      <c r="P530" s="599">
        <v>0</v>
      </c>
      <c r="Q530" s="597">
        <v>0</v>
      </c>
      <c r="R530" s="600">
        <v>0</v>
      </c>
      <c r="S530"/>
      <c r="T530"/>
      <c r="U530"/>
      <c r="V530"/>
    </row>
    <row r="531" spans="1:22">
      <c r="A531" s="285"/>
      <c r="B531" s="264" t="s">
        <v>590</v>
      </c>
      <c r="C531" s="281">
        <v>0</v>
      </c>
      <c r="D531" s="282">
        <v>0</v>
      </c>
      <c r="E531" s="282">
        <v>0</v>
      </c>
      <c r="F531" s="282">
        <v>0</v>
      </c>
      <c r="G531" s="282">
        <v>0</v>
      </c>
      <c r="H531" s="282">
        <v>0</v>
      </c>
      <c r="I531" s="282">
        <v>0</v>
      </c>
      <c r="J531" s="283">
        <v>0</v>
      </c>
      <c r="K531" s="281">
        <v>0</v>
      </c>
      <c r="L531" s="282">
        <v>0</v>
      </c>
      <c r="M531" s="282">
        <v>0</v>
      </c>
      <c r="N531" s="282">
        <v>0</v>
      </c>
      <c r="O531" s="281">
        <v>0</v>
      </c>
      <c r="P531" s="281">
        <v>0</v>
      </c>
      <c r="Q531" s="282">
        <v>0</v>
      </c>
      <c r="R531" s="284">
        <v>0</v>
      </c>
      <c r="S531"/>
      <c r="T531"/>
      <c r="U531"/>
      <c r="V531"/>
    </row>
    <row r="532" spans="1:22">
      <c r="A532" s="285"/>
      <c r="B532" s="286" t="s">
        <v>591</v>
      </c>
      <c r="C532" s="287">
        <v>0.11207394181734827</v>
      </c>
      <c r="D532" s="288">
        <v>0.10186978072503533</v>
      </c>
      <c r="E532" s="288">
        <v>6.4055999471703096E-2</v>
      </c>
      <c r="F532" s="288">
        <v>0.21155376372606227</v>
      </c>
      <c r="G532" s="288">
        <v>6.369426751592357E-3</v>
      </c>
      <c r="H532" s="288">
        <v>0</v>
      </c>
      <c r="I532" s="288">
        <v>0</v>
      </c>
      <c r="J532" s="289">
        <v>0.10975854586492874</v>
      </c>
      <c r="K532" s="287">
        <v>0</v>
      </c>
      <c r="L532" s="288">
        <v>0</v>
      </c>
      <c r="M532" s="288">
        <v>0</v>
      </c>
      <c r="N532" s="288">
        <v>0</v>
      </c>
      <c r="O532" s="287">
        <v>0</v>
      </c>
      <c r="P532" s="287">
        <v>0</v>
      </c>
      <c r="Q532" s="288">
        <v>0</v>
      </c>
      <c r="R532" s="290">
        <v>0</v>
      </c>
      <c r="S532"/>
      <c r="T532"/>
      <c r="U532"/>
      <c r="V532"/>
    </row>
    <row r="533" spans="1:22">
      <c r="A533" s="285"/>
      <c r="B533" s="595" t="s">
        <v>592</v>
      </c>
      <c r="C533" s="596">
        <v>0</v>
      </c>
      <c r="D533" s="597">
        <v>0</v>
      </c>
      <c r="E533" s="597">
        <v>0</v>
      </c>
      <c r="F533" s="597">
        <v>0</v>
      </c>
      <c r="G533" s="597">
        <v>0</v>
      </c>
      <c r="H533" s="597">
        <v>0</v>
      </c>
      <c r="I533" s="597">
        <v>0</v>
      </c>
      <c r="J533" s="598">
        <v>0</v>
      </c>
      <c r="K533" s="596">
        <v>0</v>
      </c>
      <c r="L533" s="597">
        <v>0</v>
      </c>
      <c r="M533" s="597">
        <v>0</v>
      </c>
      <c r="N533" s="597">
        <v>0</v>
      </c>
      <c r="O533" s="596">
        <v>0</v>
      </c>
      <c r="P533" s="599">
        <v>0</v>
      </c>
      <c r="Q533" s="597">
        <v>0</v>
      </c>
      <c r="R533" s="600">
        <v>0</v>
      </c>
      <c r="S533"/>
      <c r="T533"/>
      <c r="U533"/>
      <c r="V533"/>
    </row>
    <row r="534" spans="1:22">
      <c r="A534" s="285"/>
      <c r="B534" s="264" t="s">
        <v>593</v>
      </c>
      <c r="C534" s="281">
        <v>0</v>
      </c>
      <c r="D534" s="282">
        <v>0</v>
      </c>
      <c r="E534" s="282">
        <v>0</v>
      </c>
      <c r="F534" s="282">
        <v>0</v>
      </c>
      <c r="G534" s="282">
        <v>0</v>
      </c>
      <c r="H534" s="282">
        <v>0</v>
      </c>
      <c r="I534" s="282">
        <v>0</v>
      </c>
      <c r="J534" s="283">
        <v>0</v>
      </c>
      <c r="K534" s="281">
        <v>0</v>
      </c>
      <c r="L534" s="282">
        <v>0</v>
      </c>
      <c r="M534" s="282">
        <v>0</v>
      </c>
      <c r="N534" s="282">
        <v>0</v>
      </c>
      <c r="O534" s="281">
        <v>0</v>
      </c>
      <c r="P534" s="281">
        <v>0</v>
      </c>
      <c r="Q534" s="282">
        <v>0</v>
      </c>
      <c r="R534" s="284">
        <v>0</v>
      </c>
      <c r="S534"/>
      <c r="T534"/>
      <c r="U534"/>
      <c r="V534"/>
    </row>
    <row r="535" spans="1:22">
      <c r="A535" s="285"/>
      <c r="B535" s="286" t="s">
        <v>594</v>
      </c>
      <c r="C535" s="287">
        <v>6.1789672229301228E-2</v>
      </c>
      <c r="D535" s="288">
        <v>4.0121910799771732E-2</v>
      </c>
      <c r="E535" s="288">
        <v>9.1989698210394238E-2</v>
      </c>
      <c r="F535" s="288">
        <v>3.9175640549572968E-2</v>
      </c>
      <c r="G535" s="288">
        <v>0.11192940552016985</v>
      </c>
      <c r="H535" s="288">
        <v>0</v>
      </c>
      <c r="I535" s="288">
        <v>0</v>
      </c>
      <c r="J535" s="289">
        <v>5.8355365615153518E-2</v>
      </c>
      <c r="K535" s="287">
        <v>0</v>
      </c>
      <c r="L535" s="288">
        <v>0</v>
      </c>
      <c r="M535" s="288">
        <v>0</v>
      </c>
      <c r="N535" s="288">
        <v>0</v>
      </c>
      <c r="O535" s="287">
        <v>0</v>
      </c>
      <c r="P535" s="287">
        <v>0</v>
      </c>
      <c r="Q535" s="288">
        <v>0</v>
      </c>
      <c r="R535" s="290">
        <v>0</v>
      </c>
      <c r="S535"/>
      <c r="T535"/>
      <c r="U535"/>
      <c r="V535"/>
    </row>
    <row r="536" spans="1:22">
      <c r="A536" s="285"/>
      <c r="B536" s="595" t="s">
        <v>595</v>
      </c>
      <c r="C536" s="596">
        <v>0</v>
      </c>
      <c r="D536" s="597">
        <v>0</v>
      </c>
      <c r="E536" s="597">
        <v>0</v>
      </c>
      <c r="F536" s="597">
        <v>0</v>
      </c>
      <c r="G536" s="597">
        <v>0</v>
      </c>
      <c r="H536" s="597">
        <v>0</v>
      </c>
      <c r="I536" s="597">
        <v>0</v>
      </c>
      <c r="J536" s="598">
        <v>0</v>
      </c>
      <c r="K536" s="596">
        <v>0</v>
      </c>
      <c r="L536" s="597">
        <v>0</v>
      </c>
      <c r="M536" s="597">
        <v>0</v>
      </c>
      <c r="N536" s="597">
        <v>0</v>
      </c>
      <c r="O536" s="596">
        <v>0</v>
      </c>
      <c r="P536" s="599">
        <v>0</v>
      </c>
      <c r="Q536" s="597">
        <v>0</v>
      </c>
      <c r="R536" s="600">
        <v>0</v>
      </c>
      <c r="S536"/>
      <c r="T536"/>
      <c r="U536"/>
      <c r="V536"/>
    </row>
    <row r="537" spans="1:22">
      <c r="A537" s="285"/>
      <c r="B537" s="264" t="s">
        <v>596</v>
      </c>
      <c r="C537" s="281">
        <v>0</v>
      </c>
      <c r="D537" s="282">
        <v>0</v>
      </c>
      <c r="E537" s="282">
        <v>0</v>
      </c>
      <c r="F537" s="282">
        <v>0</v>
      </c>
      <c r="G537" s="282">
        <v>0</v>
      </c>
      <c r="H537" s="282">
        <v>0</v>
      </c>
      <c r="I537" s="282">
        <v>0</v>
      </c>
      <c r="J537" s="283">
        <v>0</v>
      </c>
      <c r="K537" s="281">
        <v>0</v>
      </c>
      <c r="L537" s="282">
        <v>0</v>
      </c>
      <c r="M537" s="282">
        <v>0</v>
      </c>
      <c r="N537" s="282">
        <v>0</v>
      </c>
      <c r="O537" s="281">
        <v>0</v>
      </c>
      <c r="P537" s="281">
        <v>0</v>
      </c>
      <c r="Q537" s="282">
        <v>0</v>
      </c>
      <c r="R537" s="284">
        <v>0</v>
      </c>
      <c r="S537"/>
      <c r="T537"/>
      <c r="U537"/>
      <c r="V537"/>
    </row>
    <row r="538" spans="1:22">
      <c r="A538" s="285"/>
      <c r="B538" s="286" t="s">
        <v>597</v>
      </c>
      <c r="C538" s="287">
        <v>3.1384550928578288E-2</v>
      </c>
      <c r="D538" s="288">
        <v>0</v>
      </c>
      <c r="E538" s="288">
        <v>2.2012370952475291E-4</v>
      </c>
      <c r="F538" s="288">
        <v>2.4428412285820381E-2</v>
      </c>
      <c r="G538" s="288">
        <v>0</v>
      </c>
      <c r="H538" s="288">
        <v>0</v>
      </c>
      <c r="I538" s="288">
        <v>0</v>
      </c>
      <c r="J538" s="289">
        <v>2.1941179284870861E-2</v>
      </c>
      <c r="K538" s="287">
        <v>0</v>
      </c>
      <c r="L538" s="288">
        <v>0</v>
      </c>
      <c r="M538" s="288">
        <v>0</v>
      </c>
      <c r="N538" s="288">
        <v>0</v>
      </c>
      <c r="O538" s="287">
        <v>0</v>
      </c>
      <c r="P538" s="287">
        <v>0</v>
      </c>
      <c r="Q538" s="288">
        <v>0</v>
      </c>
      <c r="R538" s="290">
        <v>0</v>
      </c>
      <c r="S538"/>
      <c r="T538"/>
      <c r="U538"/>
      <c r="V538"/>
    </row>
    <row r="539" spans="1:22">
      <c r="A539" s="285"/>
      <c r="B539" s="595" t="s">
        <v>598</v>
      </c>
      <c r="C539" s="596">
        <v>0</v>
      </c>
      <c r="D539" s="597">
        <v>0</v>
      </c>
      <c r="E539" s="597">
        <v>0</v>
      </c>
      <c r="F539" s="597">
        <v>0</v>
      </c>
      <c r="G539" s="597">
        <v>0</v>
      </c>
      <c r="H539" s="597">
        <v>0</v>
      </c>
      <c r="I539" s="597">
        <v>0</v>
      </c>
      <c r="J539" s="598">
        <v>0</v>
      </c>
      <c r="K539" s="596">
        <v>0</v>
      </c>
      <c r="L539" s="597">
        <v>0</v>
      </c>
      <c r="M539" s="597">
        <v>0</v>
      </c>
      <c r="N539" s="597">
        <v>0</v>
      </c>
      <c r="O539" s="596">
        <v>0</v>
      </c>
      <c r="P539" s="599">
        <v>0</v>
      </c>
      <c r="Q539" s="597">
        <v>0</v>
      </c>
      <c r="R539" s="600">
        <v>0</v>
      </c>
      <c r="S539"/>
      <c r="T539"/>
      <c r="U539"/>
      <c r="V539"/>
    </row>
    <row r="540" spans="1:22">
      <c r="A540" s="285"/>
      <c r="B540" s="264" t="s">
        <v>599</v>
      </c>
      <c r="C540" s="281">
        <v>0</v>
      </c>
      <c r="D540" s="282">
        <v>0</v>
      </c>
      <c r="E540" s="282">
        <v>0</v>
      </c>
      <c r="F540" s="282">
        <v>0</v>
      </c>
      <c r="G540" s="282">
        <v>0</v>
      </c>
      <c r="H540" s="282">
        <v>0</v>
      </c>
      <c r="I540" s="282">
        <v>0</v>
      </c>
      <c r="J540" s="283">
        <v>0</v>
      </c>
      <c r="K540" s="281">
        <v>0</v>
      </c>
      <c r="L540" s="282">
        <v>0</v>
      </c>
      <c r="M540" s="282">
        <v>0</v>
      </c>
      <c r="N540" s="282">
        <v>0</v>
      </c>
      <c r="O540" s="281">
        <v>0</v>
      </c>
      <c r="P540" s="281">
        <v>0</v>
      </c>
      <c r="Q540" s="282">
        <v>0</v>
      </c>
      <c r="R540" s="284">
        <v>0</v>
      </c>
      <c r="S540"/>
      <c r="T540"/>
      <c r="U540"/>
      <c r="V540"/>
    </row>
    <row r="541" spans="1:22">
      <c r="A541" s="285"/>
      <c r="B541" s="286" t="s">
        <v>600</v>
      </c>
      <c r="C541" s="287">
        <v>0</v>
      </c>
      <c r="D541" s="288">
        <v>0</v>
      </c>
      <c r="E541" s="288">
        <v>0</v>
      </c>
      <c r="F541" s="288">
        <v>0</v>
      </c>
      <c r="G541" s="288">
        <v>0</v>
      </c>
      <c r="H541" s="288">
        <v>0</v>
      </c>
      <c r="I541" s="288">
        <v>0</v>
      </c>
      <c r="J541" s="289">
        <v>0</v>
      </c>
      <c r="K541" s="287">
        <v>0</v>
      </c>
      <c r="L541" s="288">
        <v>0</v>
      </c>
      <c r="M541" s="288">
        <v>0</v>
      </c>
      <c r="N541" s="288">
        <v>0</v>
      </c>
      <c r="O541" s="287">
        <v>0</v>
      </c>
      <c r="P541" s="287">
        <v>0</v>
      </c>
      <c r="Q541" s="288">
        <v>0</v>
      </c>
      <c r="R541" s="290">
        <v>0</v>
      </c>
      <c r="S541"/>
      <c r="T541"/>
      <c r="U541"/>
      <c r="V541"/>
    </row>
    <row r="542" spans="1:22">
      <c r="A542" s="285"/>
      <c r="B542" s="595" t="s">
        <v>601</v>
      </c>
      <c r="C542" s="596">
        <v>0</v>
      </c>
      <c r="D542" s="597">
        <v>0</v>
      </c>
      <c r="E542" s="597">
        <v>0</v>
      </c>
      <c r="F542" s="597">
        <v>0</v>
      </c>
      <c r="G542" s="597">
        <v>0</v>
      </c>
      <c r="H542" s="597">
        <v>0</v>
      </c>
      <c r="I542" s="597">
        <v>0</v>
      </c>
      <c r="J542" s="598">
        <v>0</v>
      </c>
      <c r="K542" s="596">
        <v>0</v>
      </c>
      <c r="L542" s="597">
        <v>0</v>
      </c>
      <c r="M542" s="597">
        <v>0</v>
      </c>
      <c r="N542" s="597">
        <v>0</v>
      </c>
      <c r="O542" s="596">
        <v>0</v>
      </c>
      <c r="P542" s="599">
        <v>0</v>
      </c>
      <c r="Q542" s="597">
        <v>0</v>
      </c>
      <c r="R542" s="600">
        <v>0</v>
      </c>
      <c r="S542"/>
      <c r="T542"/>
      <c r="U542"/>
      <c r="V542"/>
    </row>
    <row r="543" spans="1:22">
      <c r="A543" s="285"/>
      <c r="B543" s="264" t="s">
        <v>602</v>
      </c>
      <c r="C543" s="281">
        <v>0</v>
      </c>
      <c r="D543" s="282">
        <v>0</v>
      </c>
      <c r="E543" s="282">
        <v>0</v>
      </c>
      <c r="F543" s="282">
        <v>0</v>
      </c>
      <c r="G543" s="282">
        <v>0</v>
      </c>
      <c r="H543" s="282">
        <v>0</v>
      </c>
      <c r="I543" s="282">
        <v>0</v>
      </c>
      <c r="J543" s="283">
        <v>0</v>
      </c>
      <c r="K543" s="281">
        <v>0</v>
      </c>
      <c r="L543" s="282">
        <v>0</v>
      </c>
      <c r="M543" s="282">
        <v>0</v>
      </c>
      <c r="N543" s="282">
        <v>0</v>
      </c>
      <c r="O543" s="281">
        <v>0</v>
      </c>
      <c r="P543" s="281">
        <v>0</v>
      </c>
      <c r="Q543" s="282">
        <v>0</v>
      </c>
      <c r="R543" s="284">
        <v>0</v>
      </c>
      <c r="S543"/>
      <c r="T543"/>
      <c r="U543"/>
      <c r="V543"/>
    </row>
    <row r="544" spans="1:22">
      <c r="A544" s="285"/>
      <c r="B544" s="286" t="s">
        <v>603</v>
      </c>
      <c r="C544" s="287">
        <v>0</v>
      </c>
      <c r="D544" s="288">
        <v>0</v>
      </c>
      <c r="E544" s="288">
        <v>0</v>
      </c>
      <c r="F544" s="288">
        <v>0</v>
      </c>
      <c r="G544" s="288">
        <v>0</v>
      </c>
      <c r="H544" s="288">
        <v>0</v>
      </c>
      <c r="I544" s="288">
        <v>0</v>
      </c>
      <c r="J544" s="289">
        <v>0</v>
      </c>
      <c r="K544" s="287">
        <v>0</v>
      </c>
      <c r="L544" s="288">
        <v>0</v>
      </c>
      <c r="M544" s="288">
        <v>0</v>
      </c>
      <c r="N544" s="288">
        <v>0</v>
      </c>
      <c r="O544" s="287">
        <v>0</v>
      </c>
      <c r="P544" s="287">
        <v>0</v>
      </c>
      <c r="Q544" s="288">
        <v>0</v>
      </c>
      <c r="R544" s="290">
        <v>0</v>
      </c>
      <c r="S544"/>
      <c r="T544"/>
      <c r="U544"/>
      <c r="V544"/>
    </row>
    <row r="545" spans="1:22">
      <c r="A545" s="292"/>
      <c r="B545" s="595" t="s">
        <v>604</v>
      </c>
      <c r="C545" s="596">
        <v>0</v>
      </c>
      <c r="D545" s="597">
        <v>0</v>
      </c>
      <c r="E545" s="597">
        <v>0</v>
      </c>
      <c r="F545" s="597">
        <v>0</v>
      </c>
      <c r="G545" s="597">
        <v>0</v>
      </c>
      <c r="H545" s="597">
        <v>0</v>
      </c>
      <c r="I545" s="597">
        <v>0</v>
      </c>
      <c r="J545" s="598">
        <v>0</v>
      </c>
      <c r="K545" s="596">
        <v>0</v>
      </c>
      <c r="L545" s="597">
        <v>0</v>
      </c>
      <c r="M545" s="597">
        <v>0</v>
      </c>
      <c r="N545" s="597">
        <v>0</v>
      </c>
      <c r="O545" s="596">
        <v>0</v>
      </c>
      <c r="P545" s="599">
        <v>0</v>
      </c>
      <c r="Q545" s="597">
        <v>0</v>
      </c>
      <c r="R545" s="600">
        <v>0</v>
      </c>
      <c r="S545"/>
      <c r="T545"/>
      <c r="U545"/>
      <c r="V545"/>
    </row>
    <row r="546" spans="1:22">
      <c r="A546" s="280" t="s">
        <v>543</v>
      </c>
      <c r="B546" s="264" t="s">
        <v>569</v>
      </c>
      <c r="C546" s="281">
        <v>0.93840763786928927</v>
      </c>
      <c r="D546" s="282">
        <v>0</v>
      </c>
      <c r="E546" s="282">
        <v>0.82339295597188045</v>
      </c>
      <c r="F546" s="282">
        <v>0</v>
      </c>
      <c r="G546" s="282">
        <v>0.87170003940251461</v>
      </c>
      <c r="H546" s="282">
        <v>0.85160473425510497</v>
      </c>
      <c r="I546" s="282">
        <v>0</v>
      </c>
      <c r="J546" s="283">
        <v>0.88761923856654301</v>
      </c>
      <c r="K546" s="281">
        <v>0.70367276930534328</v>
      </c>
      <c r="L546" s="282">
        <v>0</v>
      </c>
      <c r="M546" s="282">
        <v>0</v>
      </c>
      <c r="N546" s="282">
        <v>0.65433351003099005</v>
      </c>
      <c r="O546" s="281">
        <v>0.66690029421876273</v>
      </c>
      <c r="P546" s="281">
        <v>0</v>
      </c>
      <c r="Q546" s="282">
        <v>0</v>
      </c>
      <c r="R546" s="284">
        <v>0</v>
      </c>
      <c r="S546"/>
      <c r="T546"/>
      <c r="U546"/>
      <c r="V546"/>
    </row>
    <row r="547" spans="1:22">
      <c r="A547" s="285"/>
      <c r="B547" s="286" t="s">
        <v>570</v>
      </c>
      <c r="C547" s="287">
        <v>0.93283710603437409</v>
      </c>
      <c r="D547" s="288">
        <v>0</v>
      </c>
      <c r="E547" s="288">
        <v>0.81460380709334168</v>
      </c>
      <c r="F547" s="288">
        <v>0</v>
      </c>
      <c r="G547" s="288">
        <v>0.86707212257915334</v>
      </c>
      <c r="H547" s="288">
        <v>0.81962447266606919</v>
      </c>
      <c r="I547" s="288">
        <v>0</v>
      </c>
      <c r="J547" s="289">
        <v>0.87456651332354207</v>
      </c>
      <c r="K547" s="287">
        <v>0.68618274796216061</v>
      </c>
      <c r="L547" s="288">
        <v>0</v>
      </c>
      <c r="M547" s="288">
        <v>0</v>
      </c>
      <c r="N547" s="288">
        <v>0.66561153326656441</v>
      </c>
      <c r="O547" s="287">
        <v>0.67087774707198311</v>
      </c>
      <c r="P547" s="287">
        <v>0</v>
      </c>
      <c r="Q547" s="288">
        <v>0</v>
      </c>
      <c r="R547" s="290">
        <v>0</v>
      </c>
      <c r="S547"/>
      <c r="T547"/>
      <c r="U547"/>
      <c r="V547"/>
    </row>
    <row r="548" spans="1:22">
      <c r="A548" s="285"/>
      <c r="B548" s="595" t="s">
        <v>571</v>
      </c>
      <c r="C548" s="596">
        <v>-0.55705318349151822</v>
      </c>
      <c r="D548" s="597">
        <v>0</v>
      </c>
      <c r="E548" s="597">
        <v>-0.87891488785387661</v>
      </c>
      <c r="F548" s="597">
        <v>0</v>
      </c>
      <c r="G548" s="597">
        <v>-0.46279168233612777</v>
      </c>
      <c r="H548" s="597">
        <v>-3.1980261589035774</v>
      </c>
      <c r="I548" s="597">
        <v>0</v>
      </c>
      <c r="J548" s="598">
        <v>-1.305272524300094</v>
      </c>
      <c r="K548" s="596">
        <v>-1.7490021343182671</v>
      </c>
      <c r="L548" s="597">
        <v>0</v>
      </c>
      <c r="M548" s="597">
        <v>0</v>
      </c>
      <c r="N548" s="597">
        <v>1.1278023235574364</v>
      </c>
      <c r="O548" s="596">
        <v>0.39774528532203757</v>
      </c>
      <c r="P548" s="599">
        <v>0</v>
      </c>
      <c r="Q548" s="597">
        <v>0</v>
      </c>
      <c r="R548" s="600">
        <v>0</v>
      </c>
      <c r="S548"/>
      <c r="T548"/>
      <c r="U548"/>
      <c r="V548"/>
    </row>
    <row r="549" spans="1:22">
      <c r="A549" s="285"/>
      <c r="B549" s="264" t="s">
        <v>572</v>
      </c>
      <c r="C549" s="281">
        <v>1.0875729256488538E-3</v>
      </c>
      <c r="D549" s="282">
        <v>0</v>
      </c>
      <c r="E549" s="282">
        <v>5.3358140119088272E-2</v>
      </c>
      <c r="F549" s="282">
        <v>0</v>
      </c>
      <c r="G549" s="282">
        <v>6.3164917433821688E-2</v>
      </c>
      <c r="H549" s="282">
        <v>6.2841399069956325E-2</v>
      </c>
      <c r="I549" s="282">
        <v>0</v>
      </c>
      <c r="J549" s="283">
        <v>3.4331359768401334E-2</v>
      </c>
      <c r="K549" s="281">
        <v>0.1332040717401842</v>
      </c>
      <c r="L549" s="282">
        <v>0</v>
      </c>
      <c r="M549" s="282">
        <v>0</v>
      </c>
      <c r="N549" s="282">
        <v>0.19900913390963954</v>
      </c>
      <c r="O549" s="281">
        <v>0.18224848474488062</v>
      </c>
      <c r="P549" s="281">
        <v>0</v>
      </c>
      <c r="Q549" s="282">
        <v>0</v>
      </c>
      <c r="R549" s="284">
        <v>0</v>
      </c>
      <c r="S549"/>
      <c r="T549"/>
      <c r="U549"/>
      <c r="V549"/>
    </row>
    <row r="550" spans="1:22">
      <c r="A550" s="285"/>
      <c r="B550" s="286" t="s">
        <v>573</v>
      </c>
      <c r="C550" s="287">
        <v>1.8066527874730539E-3</v>
      </c>
      <c r="D550" s="288">
        <v>0</v>
      </c>
      <c r="E550" s="288">
        <v>5.5386417735592816E-2</v>
      </c>
      <c r="F550" s="288">
        <v>0</v>
      </c>
      <c r="G550" s="288">
        <v>6.4012006614108649E-2</v>
      </c>
      <c r="H550" s="288">
        <v>7.1039804148724559E-2</v>
      </c>
      <c r="I550" s="288">
        <v>0</v>
      </c>
      <c r="J550" s="289">
        <v>3.7455098741476442E-2</v>
      </c>
      <c r="K550" s="287">
        <v>0.1324378634230361</v>
      </c>
      <c r="L550" s="288">
        <v>0</v>
      </c>
      <c r="M550" s="288">
        <v>0</v>
      </c>
      <c r="N550" s="288">
        <v>0.16224628559352403</v>
      </c>
      <c r="O550" s="287">
        <v>0.15461535437848112</v>
      </c>
      <c r="P550" s="287">
        <v>0</v>
      </c>
      <c r="Q550" s="288">
        <v>0</v>
      </c>
      <c r="R550" s="290">
        <v>0</v>
      </c>
      <c r="S550"/>
      <c r="T550"/>
      <c r="U550"/>
      <c r="V550"/>
    </row>
    <row r="551" spans="1:22">
      <c r="A551" s="285"/>
      <c r="B551" s="595" t="s">
        <v>574</v>
      </c>
      <c r="C551" s="596">
        <v>7.1907986182420017E-2</v>
      </c>
      <c r="D551" s="597">
        <v>0</v>
      </c>
      <c r="E551" s="597">
        <v>0.20282776165045438</v>
      </c>
      <c r="F551" s="597">
        <v>0</v>
      </c>
      <c r="G551" s="597">
        <v>8.4708918028696123E-2</v>
      </c>
      <c r="H551" s="597">
        <v>0.81984050787682339</v>
      </c>
      <c r="I551" s="597">
        <v>0</v>
      </c>
      <c r="J551" s="598">
        <v>0.31237389730751075</v>
      </c>
      <c r="K551" s="596">
        <v>-7.6620831714810378E-2</v>
      </c>
      <c r="L551" s="597">
        <v>0</v>
      </c>
      <c r="M551" s="597">
        <v>0</v>
      </c>
      <c r="N551" s="597">
        <v>-3.6762848316115511</v>
      </c>
      <c r="O551" s="596">
        <v>-2.7633130366399499</v>
      </c>
      <c r="P551" s="599">
        <v>0</v>
      </c>
      <c r="Q551" s="597">
        <v>0</v>
      </c>
      <c r="R551" s="600">
        <v>0</v>
      </c>
      <c r="S551"/>
      <c r="T551"/>
      <c r="U551"/>
      <c r="V551"/>
    </row>
    <row r="552" spans="1:22">
      <c r="A552" s="285"/>
      <c r="B552" s="264" t="s">
        <v>575</v>
      </c>
      <c r="C552" s="281">
        <v>5.6704498667723167E-2</v>
      </c>
      <c r="D552" s="282">
        <v>0</v>
      </c>
      <c r="E552" s="282">
        <v>0.12234220018919099</v>
      </c>
      <c r="F552" s="282">
        <v>0</v>
      </c>
      <c r="G552" s="282">
        <v>6.5135043163663711E-2</v>
      </c>
      <c r="H552" s="282">
        <v>7.7251718099191499E-2</v>
      </c>
      <c r="I552" s="282">
        <v>0</v>
      </c>
      <c r="J552" s="283">
        <v>7.4242031175597606E-2</v>
      </c>
      <c r="K552" s="281">
        <v>0.15283194749990678</v>
      </c>
      <c r="L552" s="282">
        <v>0</v>
      </c>
      <c r="M552" s="282">
        <v>0</v>
      </c>
      <c r="N552" s="282">
        <v>0.1215747838851737</v>
      </c>
      <c r="O552" s="281">
        <v>0.12953603087682511</v>
      </c>
      <c r="P552" s="281">
        <v>0</v>
      </c>
      <c r="Q552" s="282">
        <v>0</v>
      </c>
      <c r="R552" s="284">
        <v>0</v>
      </c>
      <c r="S552"/>
      <c r="T552"/>
      <c r="U552"/>
      <c r="V552"/>
    </row>
    <row r="553" spans="1:22">
      <c r="A553" s="285"/>
      <c r="B553" s="286" t="s">
        <v>576</v>
      </c>
      <c r="C553" s="287">
        <v>6.1352391085744508E-2</v>
      </c>
      <c r="D553" s="288">
        <v>0</v>
      </c>
      <c r="E553" s="288">
        <v>0.12909195376567945</v>
      </c>
      <c r="F553" s="288">
        <v>0</v>
      </c>
      <c r="G553" s="288">
        <v>6.8915870806738014E-2</v>
      </c>
      <c r="H553" s="288">
        <v>0.10028634505672256</v>
      </c>
      <c r="I553" s="288">
        <v>0</v>
      </c>
      <c r="J553" s="289">
        <v>8.390729645038085E-2</v>
      </c>
      <c r="K553" s="287">
        <v>0.17318129927699261</v>
      </c>
      <c r="L553" s="288">
        <v>0</v>
      </c>
      <c r="M553" s="288">
        <v>0</v>
      </c>
      <c r="N553" s="288">
        <v>0.14813981053540745</v>
      </c>
      <c r="O553" s="287">
        <v>0.15455041076833417</v>
      </c>
      <c r="P553" s="287">
        <v>0</v>
      </c>
      <c r="Q553" s="288">
        <v>0</v>
      </c>
      <c r="R553" s="290">
        <v>0</v>
      </c>
      <c r="S553"/>
      <c r="T553"/>
      <c r="U553"/>
      <c r="V553"/>
    </row>
    <row r="554" spans="1:22">
      <c r="A554" s="285"/>
      <c r="B554" s="595" t="s">
        <v>577</v>
      </c>
      <c r="C554" s="596">
        <v>0.46478924180213405</v>
      </c>
      <c r="D554" s="597">
        <v>0</v>
      </c>
      <c r="E554" s="597">
        <v>0.67497535764884509</v>
      </c>
      <c r="F554" s="597">
        <v>0</v>
      </c>
      <c r="G554" s="597">
        <v>0.37808276430743026</v>
      </c>
      <c r="H554" s="597">
        <v>2.3034626957531055</v>
      </c>
      <c r="I554" s="597">
        <v>0</v>
      </c>
      <c r="J554" s="598">
        <v>0.96652652747832435</v>
      </c>
      <c r="K554" s="596">
        <v>2.0349351777085829</v>
      </c>
      <c r="L554" s="597">
        <v>0</v>
      </c>
      <c r="M554" s="597">
        <v>0</v>
      </c>
      <c r="N554" s="597">
        <v>2.6565026650233747</v>
      </c>
      <c r="O554" s="596">
        <v>2.5014379891509062</v>
      </c>
      <c r="P554" s="599">
        <v>0</v>
      </c>
      <c r="Q554" s="597">
        <v>0</v>
      </c>
      <c r="R554" s="600">
        <v>0</v>
      </c>
      <c r="S554"/>
      <c r="T554"/>
      <c r="U554"/>
      <c r="V554"/>
    </row>
    <row r="555" spans="1:22">
      <c r="A555" s="285"/>
      <c r="B555" s="264" t="s">
        <v>578</v>
      </c>
      <c r="C555" s="281">
        <v>2.3305134121046867E-5</v>
      </c>
      <c r="D555" s="282">
        <v>0</v>
      </c>
      <c r="E555" s="282">
        <v>9.0670371984032593E-4</v>
      </c>
      <c r="F555" s="282">
        <v>0</v>
      </c>
      <c r="G555" s="282">
        <v>0</v>
      </c>
      <c r="H555" s="282">
        <v>8.0455264560485278E-3</v>
      </c>
      <c r="I555" s="282">
        <v>0</v>
      </c>
      <c r="J555" s="283">
        <v>2.0991000083313747E-3</v>
      </c>
      <c r="K555" s="281">
        <v>0</v>
      </c>
      <c r="L555" s="282">
        <v>0</v>
      </c>
      <c r="M555" s="282">
        <v>0</v>
      </c>
      <c r="N555" s="282">
        <v>2.4440344152666774E-2</v>
      </c>
      <c r="O555" s="281">
        <v>1.8215351419524805E-2</v>
      </c>
      <c r="P555" s="281">
        <v>0</v>
      </c>
      <c r="Q555" s="282">
        <v>0</v>
      </c>
      <c r="R555" s="284">
        <v>0</v>
      </c>
      <c r="S555"/>
      <c r="T555"/>
      <c r="U555"/>
      <c r="V555"/>
    </row>
    <row r="556" spans="1:22">
      <c r="A556" s="285"/>
      <c r="B556" s="286" t="s">
        <v>579</v>
      </c>
      <c r="C556" s="287">
        <v>0</v>
      </c>
      <c r="D556" s="288">
        <v>0</v>
      </c>
      <c r="E556" s="288">
        <v>9.1782140538604459E-4</v>
      </c>
      <c r="F556" s="288">
        <v>0</v>
      </c>
      <c r="G556" s="288">
        <v>0</v>
      </c>
      <c r="H556" s="288">
        <v>8.3444446873155702E-3</v>
      </c>
      <c r="I556" s="288">
        <v>0</v>
      </c>
      <c r="J556" s="289">
        <v>2.1802339985689738E-3</v>
      </c>
      <c r="K556" s="287">
        <v>0</v>
      </c>
      <c r="L556" s="288">
        <v>0</v>
      </c>
      <c r="M556" s="288">
        <v>0</v>
      </c>
      <c r="N556" s="288">
        <v>2.3147850376264552E-2</v>
      </c>
      <c r="O556" s="287">
        <v>1.7222019985541501E-2</v>
      </c>
      <c r="P556" s="287">
        <v>0</v>
      </c>
      <c r="Q556" s="288">
        <v>0</v>
      </c>
      <c r="R556" s="290">
        <v>0</v>
      </c>
      <c r="S556"/>
      <c r="T556"/>
      <c r="U556"/>
      <c r="V556"/>
    </row>
    <row r="557" spans="1:22">
      <c r="A557" s="285"/>
      <c r="B557" s="595" t="s">
        <v>580</v>
      </c>
      <c r="C557" s="596">
        <v>-2.3305134121046869E-3</v>
      </c>
      <c r="D557" s="597">
        <v>0</v>
      </c>
      <c r="E557" s="597">
        <v>1.1117685545718658E-3</v>
      </c>
      <c r="F557" s="597">
        <v>0</v>
      </c>
      <c r="G557" s="597">
        <v>0</v>
      </c>
      <c r="H557" s="597">
        <v>2.9891823126704242E-2</v>
      </c>
      <c r="I557" s="597">
        <v>0</v>
      </c>
      <c r="J557" s="598">
        <v>8.113399023759911E-3</v>
      </c>
      <c r="K557" s="596">
        <v>0</v>
      </c>
      <c r="L557" s="597">
        <v>0</v>
      </c>
      <c r="M557" s="597">
        <v>0</v>
      </c>
      <c r="N557" s="597">
        <v>-0.12924937764022226</v>
      </c>
      <c r="O557" s="596">
        <v>-9.9333143398330423E-2</v>
      </c>
      <c r="P557" s="599">
        <v>0</v>
      </c>
      <c r="Q557" s="597">
        <v>0</v>
      </c>
      <c r="R557" s="600">
        <v>0</v>
      </c>
      <c r="S557"/>
      <c r="T557"/>
      <c r="U557"/>
      <c r="V557"/>
    </row>
    <row r="558" spans="1:22">
      <c r="A558" s="285"/>
      <c r="B558" s="264" t="s">
        <v>581</v>
      </c>
      <c r="C558" s="281">
        <v>3.776985403217662E-3</v>
      </c>
      <c r="D558" s="282">
        <v>0</v>
      </c>
      <c r="E558" s="282">
        <v>0</v>
      </c>
      <c r="F558" s="282">
        <v>0</v>
      </c>
      <c r="G558" s="282">
        <v>0</v>
      </c>
      <c r="H558" s="282">
        <v>2.5662211969870871E-4</v>
      </c>
      <c r="I558" s="282">
        <v>0</v>
      </c>
      <c r="J558" s="283">
        <v>1.708270481126727E-3</v>
      </c>
      <c r="K558" s="281">
        <v>1.0291211454565793E-2</v>
      </c>
      <c r="L558" s="282">
        <v>0</v>
      </c>
      <c r="M558" s="282">
        <v>0</v>
      </c>
      <c r="N558" s="282">
        <v>4.2050644266840645E-4</v>
      </c>
      <c r="O558" s="281">
        <v>2.9345899836460713E-3</v>
      </c>
      <c r="P558" s="281">
        <v>0</v>
      </c>
      <c r="Q558" s="282">
        <v>0</v>
      </c>
      <c r="R558" s="284">
        <v>0</v>
      </c>
      <c r="S558"/>
      <c r="T558"/>
      <c r="U558"/>
      <c r="V558"/>
    </row>
    <row r="559" spans="1:22">
      <c r="A559" s="285"/>
      <c r="B559" s="286" t="s">
        <v>582</v>
      </c>
      <c r="C559" s="287">
        <v>4.0038500924083681E-3</v>
      </c>
      <c r="D559" s="288">
        <v>0</v>
      </c>
      <c r="E559" s="288">
        <v>0</v>
      </c>
      <c r="F559" s="288">
        <v>0</v>
      </c>
      <c r="G559" s="288">
        <v>0</v>
      </c>
      <c r="H559" s="288">
        <v>7.0493344116811293E-4</v>
      </c>
      <c r="I559" s="288">
        <v>0</v>
      </c>
      <c r="J559" s="289">
        <v>1.8908574860316372E-3</v>
      </c>
      <c r="K559" s="287">
        <v>8.1980893378106826E-3</v>
      </c>
      <c r="L559" s="288">
        <v>0</v>
      </c>
      <c r="M559" s="288">
        <v>0</v>
      </c>
      <c r="N559" s="288">
        <v>8.2695505958670624E-5</v>
      </c>
      <c r="O559" s="287">
        <v>2.1602295585714457E-3</v>
      </c>
      <c r="P559" s="287">
        <v>0</v>
      </c>
      <c r="Q559" s="288">
        <v>0</v>
      </c>
      <c r="R559" s="290">
        <v>0</v>
      </c>
      <c r="S559"/>
      <c r="T559"/>
      <c r="U559"/>
      <c r="V559"/>
    </row>
    <row r="560" spans="1:22">
      <c r="A560" s="285"/>
      <c r="B560" s="595" t="s">
        <v>583</v>
      </c>
      <c r="C560" s="596">
        <v>2.2686468919070606E-2</v>
      </c>
      <c r="D560" s="597">
        <v>0</v>
      </c>
      <c r="E560" s="597">
        <v>0</v>
      </c>
      <c r="F560" s="597">
        <v>0</v>
      </c>
      <c r="G560" s="597">
        <v>0</v>
      </c>
      <c r="H560" s="597">
        <v>4.4831132146940421E-2</v>
      </c>
      <c r="I560" s="597">
        <v>0</v>
      </c>
      <c r="J560" s="598">
        <v>1.8258700490491015E-2</v>
      </c>
      <c r="K560" s="596">
        <v>-0.20931221167551101</v>
      </c>
      <c r="L560" s="597">
        <v>0</v>
      </c>
      <c r="M560" s="597">
        <v>0</v>
      </c>
      <c r="N560" s="597">
        <v>-3.378109367097358E-2</v>
      </c>
      <c r="O560" s="596">
        <v>-7.7436042507462569E-2</v>
      </c>
      <c r="P560" s="599">
        <v>0</v>
      </c>
      <c r="Q560" s="597">
        <v>0</v>
      </c>
      <c r="R560" s="600">
        <v>0</v>
      </c>
      <c r="S560"/>
      <c r="T560"/>
      <c r="U560"/>
      <c r="V560"/>
    </row>
    <row r="561" spans="1:22">
      <c r="A561" s="285"/>
      <c r="B561" s="264" t="s">
        <v>584</v>
      </c>
      <c r="C561" s="281">
        <v>0</v>
      </c>
      <c r="D561" s="282">
        <v>0</v>
      </c>
      <c r="E561" s="282">
        <v>0</v>
      </c>
      <c r="F561" s="282">
        <v>0</v>
      </c>
      <c r="G561" s="282">
        <v>0</v>
      </c>
      <c r="H561" s="282">
        <v>0</v>
      </c>
      <c r="I561" s="282">
        <v>0</v>
      </c>
      <c r="J561" s="283">
        <v>0</v>
      </c>
      <c r="K561" s="281">
        <v>0</v>
      </c>
      <c r="L561" s="282">
        <v>0</v>
      </c>
      <c r="M561" s="282">
        <v>0</v>
      </c>
      <c r="N561" s="282">
        <v>2.2172157886152341E-4</v>
      </c>
      <c r="O561" s="281">
        <v>1.6524875636065255E-4</v>
      </c>
      <c r="P561" s="281">
        <v>0</v>
      </c>
      <c r="Q561" s="282">
        <v>0</v>
      </c>
      <c r="R561" s="284">
        <v>0</v>
      </c>
      <c r="S561"/>
      <c r="T561"/>
      <c r="U561"/>
      <c r="V561"/>
    </row>
    <row r="562" spans="1:22">
      <c r="A562" s="285"/>
      <c r="B562" s="286" t="s">
        <v>585</v>
      </c>
      <c r="C562" s="287">
        <v>0</v>
      </c>
      <c r="D562" s="288">
        <v>0</v>
      </c>
      <c r="E562" s="288">
        <v>0</v>
      </c>
      <c r="F562" s="288">
        <v>0</v>
      </c>
      <c r="G562" s="288">
        <v>0</v>
      </c>
      <c r="H562" s="288">
        <v>0</v>
      </c>
      <c r="I562" s="288">
        <v>0</v>
      </c>
      <c r="J562" s="289">
        <v>0</v>
      </c>
      <c r="K562" s="287">
        <v>0</v>
      </c>
      <c r="L562" s="288">
        <v>0</v>
      </c>
      <c r="M562" s="288">
        <v>0</v>
      </c>
      <c r="N562" s="288">
        <v>7.7182472228092577E-4</v>
      </c>
      <c r="O562" s="287">
        <v>5.7423823708861212E-4</v>
      </c>
      <c r="P562" s="287">
        <v>0</v>
      </c>
      <c r="Q562" s="288">
        <v>0</v>
      </c>
      <c r="R562" s="290">
        <v>0</v>
      </c>
      <c r="S562"/>
      <c r="T562"/>
      <c r="U562"/>
      <c r="V562"/>
    </row>
    <row r="563" spans="1:22">
      <c r="A563" s="285"/>
      <c r="B563" s="595" t="s">
        <v>586</v>
      </c>
      <c r="C563" s="596">
        <v>0</v>
      </c>
      <c r="D563" s="597">
        <v>0</v>
      </c>
      <c r="E563" s="597">
        <v>0</v>
      </c>
      <c r="F563" s="597">
        <v>0</v>
      </c>
      <c r="G563" s="597">
        <v>0</v>
      </c>
      <c r="H563" s="597">
        <v>0</v>
      </c>
      <c r="I563" s="597">
        <v>0</v>
      </c>
      <c r="J563" s="598">
        <v>0</v>
      </c>
      <c r="K563" s="596">
        <v>0</v>
      </c>
      <c r="L563" s="597">
        <v>0</v>
      </c>
      <c r="M563" s="597">
        <v>0</v>
      </c>
      <c r="N563" s="597">
        <v>5.5010314341940238E-2</v>
      </c>
      <c r="O563" s="596">
        <v>4.0898948072795954E-2</v>
      </c>
      <c r="P563" s="599">
        <v>0</v>
      </c>
      <c r="Q563" s="597">
        <v>0</v>
      </c>
      <c r="R563" s="600">
        <v>0</v>
      </c>
      <c r="S563"/>
      <c r="T563"/>
      <c r="U563"/>
      <c r="V563"/>
    </row>
    <row r="564" spans="1:22">
      <c r="A564" s="285"/>
      <c r="B564" s="264" t="s">
        <v>587</v>
      </c>
      <c r="C564" s="281">
        <v>0.67359782095902732</v>
      </c>
      <c r="D564" s="282">
        <v>0</v>
      </c>
      <c r="E564" s="282">
        <v>0.32526230831315578</v>
      </c>
      <c r="F564" s="282">
        <v>0</v>
      </c>
      <c r="G564" s="282">
        <v>0.55268698060941823</v>
      </c>
      <c r="H564" s="282">
        <v>0.2422825070159027</v>
      </c>
      <c r="I564" s="282">
        <v>0</v>
      </c>
      <c r="J564" s="283">
        <v>0.55217656518604785</v>
      </c>
      <c r="K564" s="281">
        <v>0</v>
      </c>
      <c r="L564" s="282">
        <v>0</v>
      </c>
      <c r="M564" s="282">
        <v>0</v>
      </c>
      <c r="N564" s="282">
        <v>1</v>
      </c>
      <c r="O564" s="281">
        <v>1</v>
      </c>
      <c r="P564" s="281">
        <v>0</v>
      </c>
      <c r="Q564" s="282">
        <v>0</v>
      </c>
      <c r="R564" s="284">
        <v>0</v>
      </c>
      <c r="S564"/>
      <c r="T564"/>
      <c r="U564"/>
      <c r="V564"/>
    </row>
    <row r="565" spans="1:22">
      <c r="A565" s="285"/>
      <c r="B565" s="286" t="s">
        <v>588</v>
      </c>
      <c r="C565" s="287">
        <v>0.66191904715276351</v>
      </c>
      <c r="D565" s="288">
        <v>0</v>
      </c>
      <c r="E565" s="288">
        <v>0.32981478151411614</v>
      </c>
      <c r="F565" s="288">
        <v>0</v>
      </c>
      <c r="G565" s="288">
        <v>0.51475562813484199</v>
      </c>
      <c r="H565" s="288">
        <v>0.20368432070337031</v>
      </c>
      <c r="I565" s="288">
        <v>0</v>
      </c>
      <c r="J565" s="289">
        <v>0.54101832904019376</v>
      </c>
      <c r="K565" s="287">
        <v>0</v>
      </c>
      <c r="L565" s="288">
        <v>0</v>
      </c>
      <c r="M565" s="288">
        <v>0</v>
      </c>
      <c r="N565" s="288">
        <v>0</v>
      </c>
      <c r="O565" s="287">
        <v>0</v>
      </c>
      <c r="P565" s="287">
        <v>0</v>
      </c>
      <c r="Q565" s="288">
        <v>0</v>
      </c>
      <c r="R565" s="290">
        <v>0</v>
      </c>
      <c r="S565"/>
      <c r="T565"/>
      <c r="U565"/>
      <c r="V565"/>
    </row>
    <row r="566" spans="1:22">
      <c r="A566" s="285"/>
      <c r="B566" s="595" t="s">
        <v>589</v>
      </c>
      <c r="C566" s="596">
        <v>-1.1678773806263809</v>
      </c>
      <c r="D566" s="597">
        <v>0</v>
      </c>
      <c r="E566" s="597">
        <v>0.45524732009603608</v>
      </c>
      <c r="F566" s="597">
        <v>0</v>
      </c>
      <c r="G566" s="597">
        <v>-3.7931352474576241</v>
      </c>
      <c r="H566" s="597">
        <v>-3.8598186312532397</v>
      </c>
      <c r="I566" s="597">
        <v>0</v>
      </c>
      <c r="J566" s="598">
        <v>-1.1158236145854095</v>
      </c>
      <c r="K566" s="596">
        <v>0</v>
      </c>
      <c r="L566" s="597">
        <v>0</v>
      </c>
      <c r="M566" s="597">
        <v>0</v>
      </c>
      <c r="N566" s="597">
        <v>-100</v>
      </c>
      <c r="O566" s="596">
        <v>-100</v>
      </c>
      <c r="P566" s="599">
        <v>0</v>
      </c>
      <c r="Q566" s="597">
        <v>0</v>
      </c>
      <c r="R566" s="600">
        <v>0</v>
      </c>
      <c r="S566"/>
      <c r="T566"/>
      <c r="U566"/>
      <c r="V566"/>
    </row>
    <row r="567" spans="1:22">
      <c r="A567" s="285"/>
      <c r="B567" s="264" t="s">
        <v>590</v>
      </c>
      <c r="C567" s="281">
        <v>9.091799222025404E-2</v>
      </c>
      <c r="D567" s="282">
        <v>0</v>
      </c>
      <c r="E567" s="282">
        <v>0.4423639135503542</v>
      </c>
      <c r="F567" s="282">
        <v>0</v>
      </c>
      <c r="G567" s="282">
        <v>0</v>
      </c>
      <c r="H567" s="282">
        <v>0.27502338634237605</v>
      </c>
      <c r="I567" s="282">
        <v>0</v>
      </c>
      <c r="J567" s="283">
        <v>0.19830311096323408</v>
      </c>
      <c r="K567" s="281">
        <v>0</v>
      </c>
      <c r="L567" s="282">
        <v>0</v>
      </c>
      <c r="M567" s="282">
        <v>0</v>
      </c>
      <c r="N567" s="282">
        <v>0</v>
      </c>
      <c r="O567" s="281">
        <v>0</v>
      </c>
      <c r="P567" s="281">
        <v>0</v>
      </c>
      <c r="Q567" s="282">
        <v>0</v>
      </c>
      <c r="R567" s="284">
        <v>0</v>
      </c>
      <c r="S567"/>
      <c r="T567"/>
      <c r="U567"/>
      <c r="V567"/>
    </row>
    <row r="568" spans="1:22">
      <c r="A568" s="285"/>
      <c r="B568" s="286" t="s">
        <v>591</v>
      </c>
      <c r="C568" s="287">
        <v>9.4759518235309828E-2</v>
      </c>
      <c r="D568" s="288">
        <v>0</v>
      </c>
      <c r="E568" s="288">
        <v>0.44707786369358027</v>
      </c>
      <c r="F568" s="288">
        <v>0</v>
      </c>
      <c r="G568" s="288">
        <v>0</v>
      </c>
      <c r="H568" s="288">
        <v>0.29579233828762824</v>
      </c>
      <c r="I568" s="288">
        <v>0</v>
      </c>
      <c r="J568" s="289">
        <v>0.2036437447944533</v>
      </c>
      <c r="K568" s="287">
        <v>0</v>
      </c>
      <c r="L568" s="288">
        <v>0</v>
      </c>
      <c r="M568" s="288">
        <v>0</v>
      </c>
      <c r="N568" s="288">
        <v>0</v>
      </c>
      <c r="O568" s="287">
        <v>0</v>
      </c>
      <c r="P568" s="287">
        <v>0</v>
      </c>
      <c r="Q568" s="288">
        <v>0</v>
      </c>
      <c r="R568" s="290">
        <v>0</v>
      </c>
      <c r="S568"/>
      <c r="T568"/>
      <c r="U568"/>
      <c r="V568"/>
    </row>
    <row r="569" spans="1:22">
      <c r="A569" s="285"/>
      <c r="B569" s="595" t="s">
        <v>592</v>
      </c>
      <c r="C569" s="596">
        <v>0.38415260150557878</v>
      </c>
      <c r="D569" s="597">
        <v>0</v>
      </c>
      <c r="E569" s="597">
        <v>0.47139501432260644</v>
      </c>
      <c r="F569" s="597">
        <v>0</v>
      </c>
      <c r="G569" s="597">
        <v>0</v>
      </c>
      <c r="H569" s="597">
        <v>2.076895194525219</v>
      </c>
      <c r="I569" s="597">
        <v>0</v>
      </c>
      <c r="J569" s="598">
        <v>0.53406338312192159</v>
      </c>
      <c r="K569" s="596">
        <v>0</v>
      </c>
      <c r="L569" s="597">
        <v>0</v>
      </c>
      <c r="M569" s="597">
        <v>0</v>
      </c>
      <c r="N569" s="597">
        <v>0</v>
      </c>
      <c r="O569" s="596">
        <v>0</v>
      </c>
      <c r="P569" s="599">
        <v>0</v>
      </c>
      <c r="Q569" s="597">
        <v>0</v>
      </c>
      <c r="R569" s="600">
        <v>0</v>
      </c>
      <c r="S569"/>
      <c r="T569"/>
      <c r="U569"/>
      <c r="V569"/>
    </row>
    <row r="570" spans="1:22">
      <c r="A570" s="285"/>
      <c r="B570" s="264" t="s">
        <v>593</v>
      </c>
      <c r="C570" s="281">
        <v>0.20448092003952181</v>
      </c>
      <c r="D570" s="282">
        <v>0</v>
      </c>
      <c r="E570" s="282">
        <v>0.21660837593040982</v>
      </c>
      <c r="F570" s="282">
        <v>0</v>
      </c>
      <c r="G570" s="282">
        <v>0.44731301939058171</v>
      </c>
      <c r="H570" s="282">
        <v>0.48269410664172124</v>
      </c>
      <c r="I570" s="282">
        <v>0</v>
      </c>
      <c r="J570" s="283">
        <v>0.22533133699329008</v>
      </c>
      <c r="K570" s="281">
        <v>0</v>
      </c>
      <c r="L570" s="282">
        <v>0</v>
      </c>
      <c r="M570" s="282">
        <v>0</v>
      </c>
      <c r="N570" s="282">
        <v>0</v>
      </c>
      <c r="O570" s="281">
        <v>0</v>
      </c>
      <c r="P570" s="281">
        <v>0</v>
      </c>
      <c r="Q570" s="282">
        <v>0</v>
      </c>
      <c r="R570" s="284">
        <v>0</v>
      </c>
      <c r="S570"/>
      <c r="T570"/>
      <c r="U570"/>
      <c r="V570"/>
    </row>
    <row r="571" spans="1:22">
      <c r="A571" s="285"/>
      <c r="B571" s="286" t="s">
        <v>594</v>
      </c>
      <c r="C571" s="287">
        <v>0.21788012854179833</v>
      </c>
      <c r="D571" s="288">
        <v>0</v>
      </c>
      <c r="E571" s="288">
        <v>0.21458370796619314</v>
      </c>
      <c r="F571" s="288">
        <v>0</v>
      </c>
      <c r="G571" s="288">
        <v>0.48524437186515806</v>
      </c>
      <c r="H571" s="288">
        <v>0.50052334100900142</v>
      </c>
      <c r="I571" s="288">
        <v>0</v>
      </c>
      <c r="J571" s="289">
        <v>0.23695924367198576</v>
      </c>
      <c r="K571" s="287">
        <v>0</v>
      </c>
      <c r="L571" s="288">
        <v>0</v>
      </c>
      <c r="M571" s="288">
        <v>0</v>
      </c>
      <c r="N571" s="288">
        <v>0</v>
      </c>
      <c r="O571" s="287">
        <v>0</v>
      </c>
      <c r="P571" s="287">
        <v>0</v>
      </c>
      <c r="Q571" s="288">
        <v>0</v>
      </c>
      <c r="R571" s="290">
        <v>0</v>
      </c>
      <c r="S571"/>
      <c r="T571"/>
      <c r="U571"/>
      <c r="V571"/>
    </row>
    <row r="572" spans="1:22">
      <c r="A572" s="285"/>
      <c r="B572" s="595" t="s">
        <v>595</v>
      </c>
      <c r="C572" s="596">
        <v>1.3399208502276521</v>
      </c>
      <c r="D572" s="597">
        <v>0</v>
      </c>
      <c r="E572" s="597">
        <v>-0.20246679642166865</v>
      </c>
      <c r="F572" s="597">
        <v>0</v>
      </c>
      <c r="G572" s="597">
        <v>3.7931352474576352</v>
      </c>
      <c r="H572" s="597">
        <v>1.7829234367280178</v>
      </c>
      <c r="I572" s="597">
        <v>0</v>
      </c>
      <c r="J572" s="598">
        <v>1.1627906678695676</v>
      </c>
      <c r="K572" s="596">
        <v>0</v>
      </c>
      <c r="L572" s="597">
        <v>0</v>
      </c>
      <c r="M572" s="597">
        <v>0</v>
      </c>
      <c r="N572" s="597">
        <v>0</v>
      </c>
      <c r="O572" s="596">
        <v>0</v>
      </c>
      <c r="P572" s="599">
        <v>0</v>
      </c>
      <c r="Q572" s="597">
        <v>0</v>
      </c>
      <c r="R572" s="600">
        <v>0</v>
      </c>
      <c r="S572"/>
      <c r="T572"/>
      <c r="U572"/>
      <c r="V572"/>
    </row>
    <row r="573" spans="1:22">
      <c r="A573" s="285"/>
      <c r="B573" s="264" t="s">
        <v>596</v>
      </c>
      <c r="C573" s="281">
        <v>2.6730637422892393E-2</v>
      </c>
      <c r="D573" s="282">
        <v>0</v>
      </c>
      <c r="E573" s="282">
        <v>1.5765402206080172E-2</v>
      </c>
      <c r="F573" s="282">
        <v>0</v>
      </c>
      <c r="G573" s="282">
        <v>0</v>
      </c>
      <c r="H573" s="282">
        <v>0</v>
      </c>
      <c r="I573" s="282">
        <v>0</v>
      </c>
      <c r="J573" s="283">
        <v>2.1527200133089334E-2</v>
      </c>
      <c r="K573" s="281">
        <v>0</v>
      </c>
      <c r="L573" s="282">
        <v>0</v>
      </c>
      <c r="M573" s="282">
        <v>0</v>
      </c>
      <c r="N573" s="282">
        <v>0</v>
      </c>
      <c r="O573" s="281">
        <v>0</v>
      </c>
      <c r="P573" s="281">
        <v>0</v>
      </c>
      <c r="Q573" s="282">
        <v>0</v>
      </c>
      <c r="R573" s="284">
        <v>0</v>
      </c>
      <c r="S573"/>
      <c r="T573"/>
      <c r="U573"/>
      <c r="V573"/>
    </row>
    <row r="574" spans="1:22">
      <c r="A574" s="285"/>
      <c r="B574" s="286" t="s">
        <v>597</v>
      </c>
      <c r="C574" s="287">
        <v>2.1319778879621141E-2</v>
      </c>
      <c r="D574" s="288">
        <v>0</v>
      </c>
      <c r="E574" s="288">
        <v>8.523646826110412E-3</v>
      </c>
      <c r="F574" s="288">
        <v>0</v>
      </c>
      <c r="G574" s="288">
        <v>0</v>
      </c>
      <c r="H574" s="288">
        <v>0</v>
      </c>
      <c r="I574" s="288">
        <v>0</v>
      </c>
      <c r="J574" s="289">
        <v>1.5824861966827912E-2</v>
      </c>
      <c r="K574" s="287">
        <v>0</v>
      </c>
      <c r="L574" s="288">
        <v>0</v>
      </c>
      <c r="M574" s="288">
        <v>0</v>
      </c>
      <c r="N574" s="288">
        <v>0</v>
      </c>
      <c r="O574" s="287">
        <v>0</v>
      </c>
      <c r="P574" s="287">
        <v>0</v>
      </c>
      <c r="Q574" s="288">
        <v>0</v>
      </c>
      <c r="R574" s="290">
        <v>0</v>
      </c>
      <c r="S574"/>
      <c r="T574"/>
      <c r="U574"/>
      <c r="V574"/>
    </row>
    <row r="575" spans="1:22">
      <c r="A575" s="285"/>
      <c r="B575" s="595" t="s">
        <v>598</v>
      </c>
      <c r="C575" s="596">
        <v>-0.54108585432712519</v>
      </c>
      <c r="D575" s="597">
        <v>0</v>
      </c>
      <c r="E575" s="597">
        <v>-0.72417553799697598</v>
      </c>
      <c r="F575" s="597">
        <v>0</v>
      </c>
      <c r="G575" s="597">
        <v>0</v>
      </c>
      <c r="H575" s="597">
        <v>0</v>
      </c>
      <c r="I575" s="597">
        <v>0</v>
      </c>
      <c r="J575" s="598">
        <v>-0.57023381662614225</v>
      </c>
      <c r="K575" s="596">
        <v>0</v>
      </c>
      <c r="L575" s="597">
        <v>0</v>
      </c>
      <c r="M575" s="597">
        <v>0</v>
      </c>
      <c r="N575" s="597">
        <v>0</v>
      </c>
      <c r="O575" s="596">
        <v>0</v>
      </c>
      <c r="P575" s="599">
        <v>0</v>
      </c>
      <c r="Q575" s="597">
        <v>0</v>
      </c>
      <c r="R575" s="600">
        <v>0</v>
      </c>
      <c r="S575"/>
      <c r="T575"/>
      <c r="U575"/>
      <c r="V575"/>
    </row>
    <row r="576" spans="1:22">
      <c r="A576" s="285"/>
      <c r="B576" s="264" t="s">
        <v>599</v>
      </c>
      <c r="C576" s="281">
        <v>4.2726293583044781E-3</v>
      </c>
      <c r="D576" s="282">
        <v>0</v>
      </c>
      <c r="E576" s="282">
        <v>0</v>
      </c>
      <c r="F576" s="282">
        <v>0</v>
      </c>
      <c r="G576" s="282">
        <v>0</v>
      </c>
      <c r="H576" s="282">
        <v>0</v>
      </c>
      <c r="I576" s="282">
        <v>0</v>
      </c>
      <c r="J576" s="283">
        <v>2.6617867243387125E-3</v>
      </c>
      <c r="K576" s="281">
        <v>0</v>
      </c>
      <c r="L576" s="282">
        <v>0</v>
      </c>
      <c r="M576" s="282">
        <v>0</v>
      </c>
      <c r="N576" s="282">
        <v>0</v>
      </c>
      <c r="O576" s="281">
        <v>0</v>
      </c>
      <c r="P576" s="281">
        <v>0</v>
      </c>
      <c r="Q576" s="282">
        <v>0</v>
      </c>
      <c r="R576" s="284">
        <v>0</v>
      </c>
      <c r="S576"/>
      <c r="T576"/>
      <c r="U576"/>
      <c r="V576"/>
    </row>
    <row r="577" spans="1:22">
      <c r="A577" s="285"/>
      <c r="B577" s="286" t="s">
        <v>600</v>
      </c>
      <c r="C577" s="287">
        <v>4.1215271905071351E-3</v>
      </c>
      <c r="D577" s="288">
        <v>0</v>
      </c>
      <c r="E577" s="288">
        <v>0</v>
      </c>
      <c r="F577" s="288">
        <v>0</v>
      </c>
      <c r="G577" s="288">
        <v>0</v>
      </c>
      <c r="H577" s="288">
        <v>0</v>
      </c>
      <c r="I577" s="288">
        <v>0</v>
      </c>
      <c r="J577" s="289">
        <v>2.5538205265393248E-3</v>
      </c>
      <c r="K577" s="287">
        <v>0</v>
      </c>
      <c r="L577" s="288">
        <v>0</v>
      </c>
      <c r="M577" s="288">
        <v>0</v>
      </c>
      <c r="N577" s="288">
        <v>0</v>
      </c>
      <c r="O577" s="287">
        <v>0</v>
      </c>
      <c r="P577" s="287">
        <v>0</v>
      </c>
      <c r="Q577" s="288">
        <v>0</v>
      </c>
      <c r="R577" s="290">
        <v>0</v>
      </c>
      <c r="S577"/>
      <c r="T577"/>
      <c r="U577"/>
      <c r="V577"/>
    </row>
    <row r="578" spans="1:22">
      <c r="A578" s="285"/>
      <c r="B578" s="595" t="s">
        <v>601</v>
      </c>
      <c r="C578" s="596">
        <v>-1.5110216779734304E-2</v>
      </c>
      <c r="D578" s="597">
        <v>0</v>
      </c>
      <c r="E578" s="597">
        <v>0</v>
      </c>
      <c r="F578" s="597">
        <v>0</v>
      </c>
      <c r="G578" s="597">
        <v>0</v>
      </c>
      <c r="H578" s="597">
        <v>0</v>
      </c>
      <c r="I578" s="597">
        <v>0</v>
      </c>
      <c r="J578" s="598">
        <v>-1.0796619779938768E-2</v>
      </c>
      <c r="K578" s="596">
        <v>0</v>
      </c>
      <c r="L578" s="597">
        <v>0</v>
      </c>
      <c r="M578" s="597">
        <v>0</v>
      </c>
      <c r="N578" s="597">
        <v>0</v>
      </c>
      <c r="O578" s="596">
        <v>0</v>
      </c>
      <c r="P578" s="599">
        <v>0</v>
      </c>
      <c r="Q578" s="597">
        <v>0</v>
      </c>
      <c r="R578" s="600">
        <v>0</v>
      </c>
      <c r="S578"/>
      <c r="T578"/>
      <c r="U578"/>
      <c r="V578"/>
    </row>
    <row r="579" spans="1:22">
      <c r="A579" s="285"/>
      <c r="B579" s="264" t="s">
        <v>602</v>
      </c>
      <c r="C579" s="281">
        <v>0</v>
      </c>
      <c r="D579" s="282">
        <v>0</v>
      </c>
      <c r="E579" s="282">
        <v>0</v>
      </c>
      <c r="F579" s="282">
        <v>0</v>
      </c>
      <c r="G579" s="282">
        <v>0</v>
      </c>
      <c r="H579" s="282">
        <v>0</v>
      </c>
      <c r="I579" s="282">
        <v>0</v>
      </c>
      <c r="J579" s="283">
        <v>0</v>
      </c>
      <c r="K579" s="281">
        <v>0</v>
      </c>
      <c r="L579" s="282">
        <v>0</v>
      </c>
      <c r="M579" s="282">
        <v>0</v>
      </c>
      <c r="N579" s="282">
        <v>0</v>
      </c>
      <c r="O579" s="281">
        <v>0</v>
      </c>
      <c r="P579" s="281">
        <v>0</v>
      </c>
      <c r="Q579" s="282">
        <v>0</v>
      </c>
      <c r="R579" s="284">
        <v>0</v>
      </c>
      <c r="S579"/>
      <c r="T579"/>
      <c r="U579"/>
      <c r="V579"/>
    </row>
    <row r="580" spans="1:22">
      <c r="A580" s="285"/>
      <c r="B580" s="286" t="s">
        <v>603</v>
      </c>
      <c r="C580" s="287">
        <v>0</v>
      </c>
      <c r="D580" s="288">
        <v>0</v>
      </c>
      <c r="E580" s="288">
        <v>0</v>
      </c>
      <c r="F580" s="288">
        <v>0</v>
      </c>
      <c r="G580" s="288">
        <v>0</v>
      </c>
      <c r="H580" s="288">
        <v>0</v>
      </c>
      <c r="I580" s="288">
        <v>0</v>
      </c>
      <c r="J580" s="289">
        <v>0</v>
      </c>
      <c r="K580" s="287">
        <v>0</v>
      </c>
      <c r="L580" s="288">
        <v>0</v>
      </c>
      <c r="M580" s="288">
        <v>0</v>
      </c>
      <c r="N580" s="288">
        <v>0</v>
      </c>
      <c r="O580" s="287">
        <v>0</v>
      </c>
      <c r="P580" s="287">
        <v>0</v>
      </c>
      <c r="Q580" s="288">
        <v>0</v>
      </c>
      <c r="R580" s="290">
        <v>0</v>
      </c>
      <c r="S580"/>
      <c r="T580"/>
      <c r="U580"/>
      <c r="V580"/>
    </row>
    <row r="581" spans="1:22">
      <c r="A581" s="292"/>
      <c r="B581" s="595" t="s">
        <v>604</v>
      </c>
      <c r="C581" s="596">
        <v>0</v>
      </c>
      <c r="D581" s="597">
        <v>0</v>
      </c>
      <c r="E581" s="597">
        <v>0</v>
      </c>
      <c r="F581" s="597">
        <v>0</v>
      </c>
      <c r="G581" s="597">
        <v>0</v>
      </c>
      <c r="H581" s="597">
        <v>0</v>
      </c>
      <c r="I581" s="597">
        <v>0</v>
      </c>
      <c r="J581" s="598">
        <v>0</v>
      </c>
      <c r="K581" s="596">
        <v>0</v>
      </c>
      <c r="L581" s="597">
        <v>0</v>
      </c>
      <c r="M581" s="597">
        <v>0</v>
      </c>
      <c r="N581" s="597">
        <v>0</v>
      </c>
      <c r="O581" s="596">
        <v>0</v>
      </c>
      <c r="P581" s="599">
        <v>0</v>
      </c>
      <c r="Q581" s="597">
        <v>0</v>
      </c>
      <c r="R581" s="600">
        <v>0</v>
      </c>
      <c r="S581"/>
      <c r="T581"/>
      <c r="U581"/>
      <c r="V581"/>
    </row>
    <row r="582" spans="1:22">
      <c r="A582" s="243" t="s">
        <v>605</v>
      </c>
      <c r="C582" s="243">
        <v>0.88010363434485284</v>
      </c>
      <c r="D582" s="262">
        <v>0.89610336038726002</v>
      </c>
      <c r="E582" s="262">
        <v>0.88212583328446736</v>
      </c>
      <c r="F582" s="262">
        <v>0.8740876714036353</v>
      </c>
      <c r="G582" s="262">
        <v>0.87993932798987606</v>
      </c>
      <c r="H582" s="262">
        <v>0.84615972517280325</v>
      </c>
      <c r="I582" s="262">
        <v>0</v>
      </c>
      <c r="J582" s="262">
        <v>0.87269932894866165</v>
      </c>
      <c r="K582" s="262">
        <v>0.80623410755176472</v>
      </c>
      <c r="L582" s="262">
        <v>0.77047557567502545</v>
      </c>
      <c r="M582" s="262">
        <v>0.73295954902148674</v>
      </c>
      <c r="N582" s="262">
        <v>0.72263013634751327</v>
      </c>
      <c r="O582" s="262">
        <v>0.75899245847406627</v>
      </c>
      <c r="P582" s="262">
        <v>0.82685898522226986</v>
      </c>
      <c r="Q582" s="262">
        <v>0.99932629934444128</v>
      </c>
      <c r="R582" s="262">
        <v>0.95192152560219878</v>
      </c>
    </row>
    <row r="583" spans="1:22">
      <c r="A583" s="243" t="s">
        <v>606</v>
      </c>
      <c r="C583" s="243">
        <v>0.87730268873088069</v>
      </c>
      <c r="D583" s="262">
        <v>0.90545183703554522</v>
      </c>
      <c r="E583" s="262">
        <v>0.87365861153143143</v>
      </c>
      <c r="F583" s="262">
        <v>0.87077778670397477</v>
      </c>
      <c r="G583" s="262">
        <v>0.87306898746900763</v>
      </c>
      <c r="H583" s="262">
        <v>0.83743052742730062</v>
      </c>
      <c r="I583" s="262">
        <v>0</v>
      </c>
      <c r="J583" s="262">
        <v>0.86936401560647392</v>
      </c>
      <c r="K583" s="262">
        <v>0.78763235535314469</v>
      </c>
      <c r="L583" s="262">
        <v>0.74365487161250932</v>
      </c>
      <c r="M583" s="262">
        <v>0.67560670114390986</v>
      </c>
      <c r="N583" s="262">
        <v>0.67432826389287326</v>
      </c>
      <c r="O583" s="262">
        <v>0.72197137500300645</v>
      </c>
      <c r="P583" s="262">
        <v>0.79331769007542263</v>
      </c>
      <c r="Q583" s="262">
        <v>0.75065976625424136</v>
      </c>
      <c r="R583" s="262">
        <v>0.79230976186857538</v>
      </c>
    </row>
    <row r="584" spans="1:22">
      <c r="A584" s="243" t="s">
        <v>607</v>
      </c>
      <c r="C584" s="243">
        <v>-0.280094561397215</v>
      </c>
      <c r="D584" s="262">
        <v>0.93484766482851978</v>
      </c>
      <c r="E584" s="262">
        <v>-0.84672217530359362</v>
      </c>
      <c r="F584" s="262">
        <v>-0.33098846996605369</v>
      </c>
      <c r="G584" s="262">
        <v>-0.68703405208684343</v>
      </c>
      <c r="H584" s="262">
        <v>-0.87291977455026259</v>
      </c>
      <c r="I584" s="262">
        <v>0</v>
      </c>
      <c r="J584" s="262">
        <v>-0.3335313342187729</v>
      </c>
      <c r="K584" s="262">
        <v>-1.8601752198620036</v>
      </c>
      <c r="L584" s="262">
        <v>-2.6820704062516132</v>
      </c>
      <c r="M584" s="262">
        <v>-5.7352847877576885</v>
      </c>
      <c r="N584" s="262">
        <v>-4.8301872454640016</v>
      </c>
      <c r="O584" s="262">
        <v>-3.7021083471059812</v>
      </c>
      <c r="P584" s="262">
        <v>-3.3541295146847228</v>
      </c>
      <c r="Q584" s="262">
        <v>-24.866653309019991</v>
      </c>
      <c r="R584" s="262">
        <v>-15.96117637336234</v>
      </c>
    </row>
    <row r="585" spans="1:22">
      <c r="A585" s="243" t="s">
        <v>608</v>
      </c>
      <c r="C585" s="243">
        <v>3.1003305033283631E-2</v>
      </c>
      <c r="D585" s="262">
        <v>4.3264610349697724E-2</v>
      </c>
      <c r="E585" s="262">
        <v>2.9521172221265921E-2</v>
      </c>
      <c r="F585" s="262">
        <v>2.354792430812461E-2</v>
      </c>
      <c r="G585" s="262">
        <v>2.2981203498293332E-2</v>
      </c>
      <c r="H585" s="262">
        <v>3.597197322196545E-2</v>
      </c>
      <c r="I585" s="262">
        <v>0.14453135164108888</v>
      </c>
      <c r="J585" s="262">
        <v>3.1867309006869467E-2</v>
      </c>
      <c r="K585" s="262">
        <v>2.733079581055833E-2</v>
      </c>
      <c r="L585" s="262">
        <v>5.8712521544837179E-2</v>
      </c>
      <c r="M585" s="262">
        <v>8.3173772748813588E-2</v>
      </c>
      <c r="N585" s="262">
        <v>8.7568878389985561E-2</v>
      </c>
      <c r="O585" s="262">
        <v>6.527794869532566E-2</v>
      </c>
      <c r="P585" s="262">
        <v>1.5356709869757436E-3</v>
      </c>
      <c r="Q585" s="262">
        <v>0</v>
      </c>
      <c r="R585" s="262">
        <v>4.2209815842869164E-4</v>
      </c>
    </row>
    <row r="586" spans="1:22">
      <c r="A586" s="243" t="s">
        <v>609</v>
      </c>
      <c r="C586" s="243">
        <v>2.9857119111373166E-2</v>
      </c>
      <c r="D586" s="262">
        <v>3.6523643106186519E-2</v>
      </c>
      <c r="E586" s="262">
        <v>2.7719954458008272E-2</v>
      </c>
      <c r="F586" s="262">
        <v>2.3023019988449838E-2</v>
      </c>
      <c r="G586" s="262">
        <v>2.2316409420208926E-2</v>
      </c>
      <c r="H586" s="262">
        <v>3.8059495415130352E-2</v>
      </c>
      <c r="I586" s="262">
        <v>0.1353601029710654</v>
      </c>
      <c r="J586" s="262">
        <v>3.0167150581682949E-2</v>
      </c>
      <c r="K586" s="262">
        <v>2.1333480182932643E-2</v>
      </c>
      <c r="L586" s="262">
        <v>5.9045007163631466E-2</v>
      </c>
      <c r="M586" s="262">
        <v>0.11800612103900218</v>
      </c>
      <c r="N586" s="262">
        <v>0.10215016190151954</v>
      </c>
      <c r="O586" s="262">
        <v>7.6320448603020716E-2</v>
      </c>
      <c r="P586" s="262">
        <v>5.5544119940463465E-3</v>
      </c>
      <c r="Q586" s="262">
        <v>0.14153271412413887</v>
      </c>
      <c r="R586" s="262">
        <v>8.7673289379332029E-3</v>
      </c>
    </row>
    <row r="587" spans="1:22">
      <c r="A587" s="243" t="s">
        <v>610</v>
      </c>
      <c r="C587" s="243">
        <v>-0.11461859219104656</v>
      </c>
      <c r="D587" s="262">
        <v>-0.67409672435112045</v>
      </c>
      <c r="E587" s="262">
        <v>-0.18012177632576487</v>
      </c>
      <c r="F587" s="262">
        <v>-5.2490431967477241E-2</v>
      </c>
      <c r="G587" s="262">
        <v>-6.647940780844068E-2</v>
      </c>
      <c r="H587" s="262">
        <v>0.20875221931649021</v>
      </c>
      <c r="I587" s="262">
        <v>-0.91712486700234741</v>
      </c>
      <c r="J587" s="262">
        <v>-0.17001584251865182</v>
      </c>
      <c r="K587" s="262">
        <v>-0.59973156276256867</v>
      </c>
      <c r="L587" s="262">
        <v>3.3248561879428706E-2</v>
      </c>
      <c r="M587" s="262">
        <v>3.4832348290188593</v>
      </c>
      <c r="N587" s="262">
        <v>1.4581283511533982</v>
      </c>
      <c r="O587" s="262">
        <v>1.1042499907695056</v>
      </c>
      <c r="P587" s="262">
        <v>0.40187410070706031</v>
      </c>
      <c r="Q587" s="262">
        <v>0</v>
      </c>
      <c r="R587" s="262">
        <v>0.83452307795045111</v>
      </c>
    </row>
    <row r="588" spans="1:22">
      <c r="A588" s="243" t="s">
        <v>611</v>
      </c>
      <c r="C588" s="243">
        <v>6.2974733072491781E-2</v>
      </c>
      <c r="D588" s="262">
        <v>5.4733253382651434E-2</v>
      </c>
      <c r="E588" s="262">
        <v>7.7357699011973757E-2</v>
      </c>
      <c r="F588" s="262">
        <v>0.10032263551123255</v>
      </c>
      <c r="G588" s="262">
        <v>7.7398910812400259E-2</v>
      </c>
      <c r="H588" s="262">
        <v>0.10812900919199561</v>
      </c>
      <c r="I588" s="262">
        <v>0.85546864835891112</v>
      </c>
      <c r="J588" s="262">
        <v>7.8450596286213689E-2</v>
      </c>
      <c r="K588" s="262">
        <v>0.12421611305886357</v>
      </c>
      <c r="L588" s="262">
        <v>0.15357850327708958</v>
      </c>
      <c r="M588" s="262">
        <v>0.15711713529397536</v>
      </c>
      <c r="N588" s="262">
        <v>0.16301719313195928</v>
      </c>
      <c r="O588" s="262">
        <v>0.15280826018175678</v>
      </c>
      <c r="P588" s="262">
        <v>0.16914691121071987</v>
      </c>
      <c r="Q588" s="262">
        <v>6.7370065555873051E-4</v>
      </c>
      <c r="R588" s="262">
        <v>4.6980645647693282E-2</v>
      </c>
    </row>
    <row r="589" spans="1:22">
      <c r="A589" s="243" t="s">
        <v>612</v>
      </c>
      <c r="C589" s="243">
        <v>7.6485120941813728E-2</v>
      </c>
      <c r="D589" s="262">
        <v>5.4083590640620537E-2</v>
      </c>
      <c r="E589" s="262">
        <v>8.8371880651571061E-2</v>
      </c>
      <c r="F589" s="262">
        <v>0.10249586573921796</v>
      </c>
      <c r="G589" s="262">
        <v>8.6352338299567413E-2</v>
      </c>
      <c r="H589" s="262">
        <v>0.11607355487639577</v>
      </c>
      <c r="I589" s="262">
        <v>0.86463989702893462</v>
      </c>
      <c r="J589" s="262">
        <v>8.8235888839520216E-2</v>
      </c>
      <c r="K589" s="262">
        <v>0.15553279704622519</v>
      </c>
      <c r="L589" s="262">
        <v>0.17433113775632933</v>
      </c>
      <c r="M589" s="262">
        <v>0.17957643858061023</v>
      </c>
      <c r="N589" s="262">
        <v>0.18613415895078769</v>
      </c>
      <c r="O589" s="262">
        <v>0.17533192826363392</v>
      </c>
      <c r="P589" s="262">
        <v>0.19920219426126207</v>
      </c>
      <c r="Q589" s="262">
        <v>0.10780751962161977</v>
      </c>
      <c r="R589" s="262">
        <v>0.19704270635671534</v>
      </c>
    </row>
    <row r="590" spans="1:22">
      <c r="A590" s="243" t="s">
        <v>613</v>
      </c>
      <c r="C590" s="243">
        <v>1.3510387869321947</v>
      </c>
      <c r="D590" s="262">
        <v>-6.496627420308973E-2</v>
      </c>
      <c r="E590" s="262">
        <v>1.1014181639597305</v>
      </c>
      <c r="F590" s="262">
        <v>0.21732302279854065</v>
      </c>
      <c r="G590" s="262">
        <v>0.89534274871671538</v>
      </c>
      <c r="H590" s="262">
        <v>0.79445456844001594</v>
      </c>
      <c r="I590" s="262">
        <v>0.91712486700235019</v>
      </c>
      <c r="J590" s="262">
        <v>0.9785292553306526</v>
      </c>
      <c r="K590" s="262">
        <v>3.1316683987361622</v>
      </c>
      <c r="L590" s="262">
        <v>2.0752634479239749</v>
      </c>
      <c r="M590" s="262">
        <v>2.2459303286634871</v>
      </c>
      <c r="N590" s="262">
        <v>2.311696581882841</v>
      </c>
      <c r="O590" s="262">
        <v>2.252366808187714</v>
      </c>
      <c r="P590" s="262">
        <v>3.0055283050542196</v>
      </c>
      <c r="Q590" s="262">
        <v>10.713381896606105</v>
      </c>
      <c r="R590" s="262">
        <v>15.006206070902206</v>
      </c>
    </row>
    <row r="591" spans="1:22">
      <c r="A591" s="243" t="s">
        <v>614</v>
      </c>
      <c r="C591" s="243">
        <v>3.5163632814737586E-3</v>
      </c>
      <c r="D591" s="262">
        <v>5.616854113681128E-3</v>
      </c>
      <c r="E591" s="262">
        <v>4.8961611267550054E-3</v>
      </c>
      <c r="F591" s="262">
        <v>6.1726146917991706E-4</v>
      </c>
      <c r="G591" s="262">
        <v>1.6694583105303019E-2</v>
      </c>
      <c r="H591" s="262">
        <v>9.1291698187508426E-3</v>
      </c>
      <c r="I591" s="262">
        <v>0</v>
      </c>
      <c r="J591" s="262">
        <v>4.8273016898633097E-3</v>
      </c>
      <c r="K591" s="262">
        <v>1.0896173377718905E-3</v>
      </c>
      <c r="L591" s="262">
        <v>1.6206036212916251E-3</v>
      </c>
      <c r="M591" s="262">
        <v>1.4945472967238606E-2</v>
      </c>
      <c r="N591" s="262">
        <v>1.7398027696456396E-2</v>
      </c>
      <c r="O591" s="262">
        <v>6.6646707939737862E-3</v>
      </c>
      <c r="P591" s="262">
        <v>1.9322727418716915E-3</v>
      </c>
      <c r="Q591" s="262">
        <v>0</v>
      </c>
      <c r="R591" s="262">
        <v>5.3110905450666208E-4</v>
      </c>
    </row>
    <row r="592" spans="1:22">
      <c r="A592" s="243" t="s">
        <v>615</v>
      </c>
      <c r="C592" s="243">
        <v>2.1506929070292014E-3</v>
      </c>
      <c r="D592" s="262">
        <v>3.4316465097065378E-3</v>
      </c>
      <c r="E592" s="262">
        <v>4.7814017990691002E-3</v>
      </c>
      <c r="F592" s="262">
        <v>2.1614870303199333E-3</v>
      </c>
      <c r="G592" s="262">
        <v>1.3768828132561967E-2</v>
      </c>
      <c r="H592" s="262">
        <v>8.1802994268559727E-3</v>
      </c>
      <c r="I592" s="262">
        <v>0</v>
      </c>
      <c r="J592" s="262">
        <v>3.8658339205089685E-3</v>
      </c>
      <c r="K592" s="262">
        <v>4.4436307323790015E-4</v>
      </c>
      <c r="L592" s="262">
        <v>1.2219693322511823E-3</v>
      </c>
      <c r="M592" s="262">
        <v>1.7118028448355294E-2</v>
      </c>
      <c r="N592" s="262">
        <v>2.5965627588487333E-2</v>
      </c>
      <c r="O592" s="262">
        <v>7.8413572692587127E-3</v>
      </c>
      <c r="P592" s="262">
        <v>1.9257036692689896E-3</v>
      </c>
      <c r="Q592" s="262">
        <v>0</v>
      </c>
      <c r="R592" s="262">
        <v>1.8802028367760225E-3</v>
      </c>
    </row>
    <row r="593" spans="1:18">
      <c r="A593" s="243" t="s">
        <v>616</v>
      </c>
      <c r="C593" s="243">
        <v>-0.13656703744445572</v>
      </c>
      <c r="D593" s="262">
        <v>-0.21852076039745902</v>
      </c>
      <c r="E593" s="262">
        <v>-1.1475932768590519E-2</v>
      </c>
      <c r="F593" s="262">
        <v>0.15442255611400163</v>
      </c>
      <c r="G593" s="262">
        <v>-0.2925754972741052</v>
      </c>
      <c r="H593" s="262">
        <v>-9.4887039189486988E-2</v>
      </c>
      <c r="I593" s="262">
        <v>0</v>
      </c>
      <c r="J593" s="262">
        <v>-9.6146776935434122E-2</v>
      </c>
      <c r="K593" s="262">
        <v>-6.4525426453399037E-2</v>
      </c>
      <c r="L593" s="262">
        <v>-3.9863428904044276E-2</v>
      </c>
      <c r="M593" s="262">
        <v>0.21725554811166878</v>
      </c>
      <c r="N593" s="262">
        <v>0.85675998920309371</v>
      </c>
      <c r="O593" s="262">
        <v>0.11766864752849265</v>
      </c>
      <c r="P593" s="262">
        <v>-6.5690726027019513E-4</v>
      </c>
      <c r="Q593" s="262">
        <v>0</v>
      </c>
      <c r="R593" s="262">
        <v>0.13490937822693605</v>
      </c>
    </row>
    <row r="594" spans="1:18">
      <c r="A594" s="243" t="s">
        <v>617</v>
      </c>
      <c r="C594" s="243">
        <v>2.1729708440512859E-2</v>
      </c>
      <c r="D594" s="262">
        <v>2.8110222669023297E-4</v>
      </c>
      <c r="E594" s="262">
        <v>5.1905064293270289E-3</v>
      </c>
      <c r="F594" s="262">
        <v>1.1068654568992674E-3</v>
      </c>
      <c r="G594" s="262">
        <v>2.905605867512367E-3</v>
      </c>
      <c r="H594" s="262">
        <v>6.1012259448480258E-4</v>
      </c>
      <c r="I594" s="262">
        <v>0</v>
      </c>
      <c r="J594" s="262">
        <v>1.155014684722412E-2</v>
      </c>
      <c r="K594" s="262">
        <v>3.559934749414357E-2</v>
      </c>
      <c r="L594" s="262">
        <v>1.4931947297225757E-2</v>
      </c>
      <c r="M594" s="262">
        <v>1.1111383612131374E-2</v>
      </c>
      <c r="N594" s="262">
        <v>9.1985632346892506E-3</v>
      </c>
      <c r="O594" s="262">
        <v>1.5188631432662398E-2</v>
      </c>
      <c r="P594" s="262">
        <v>5.2615983816292806E-4</v>
      </c>
      <c r="Q594" s="262">
        <v>0</v>
      </c>
      <c r="R594" s="262">
        <v>1.4462153717254437E-4</v>
      </c>
    </row>
    <row r="595" spans="1:18">
      <c r="A595" s="243" t="s">
        <v>618</v>
      </c>
      <c r="C595" s="243">
        <v>1.3702432157467005E-2</v>
      </c>
      <c r="D595" s="262">
        <v>5.0799447174908771E-4</v>
      </c>
      <c r="E595" s="262">
        <v>4.5847762311225226E-3</v>
      </c>
      <c r="F595" s="262">
        <v>1.2259542146723437E-3</v>
      </c>
      <c r="G595" s="262">
        <v>4.4294042752797691E-3</v>
      </c>
      <c r="H595" s="262">
        <v>2.5612285431726034E-4</v>
      </c>
      <c r="I595" s="262">
        <v>0</v>
      </c>
      <c r="J595" s="262">
        <v>7.8571729880978197E-3</v>
      </c>
      <c r="K595" s="262">
        <v>2.779319380714261E-2</v>
      </c>
      <c r="L595" s="262">
        <v>2.1089115304179146E-2</v>
      </c>
      <c r="M595" s="262">
        <v>9.4616807172107024E-3</v>
      </c>
      <c r="N595" s="262">
        <v>1.1281480323739943E-2</v>
      </c>
      <c r="O595" s="262">
        <v>1.7503429547036823E-2</v>
      </c>
      <c r="P595" s="262">
        <v>0</v>
      </c>
      <c r="Q595" s="262">
        <v>0</v>
      </c>
      <c r="R595" s="262">
        <v>0</v>
      </c>
    </row>
    <row r="596" spans="1:18">
      <c r="A596" s="243" t="s">
        <v>619</v>
      </c>
      <c r="C596" s="243">
        <v>-0.80272762830458544</v>
      </c>
      <c r="D596" s="262">
        <v>2.2689224505885473E-2</v>
      </c>
      <c r="E596" s="262">
        <v>-6.057301982045063E-2</v>
      </c>
      <c r="F596" s="262">
        <v>1.1908875777307633E-2</v>
      </c>
      <c r="G596" s="262">
        <v>0.15237984077674022</v>
      </c>
      <c r="H596" s="262">
        <v>-3.5399974016754224E-2</v>
      </c>
      <c r="I596" s="262">
        <v>0</v>
      </c>
      <c r="J596" s="262">
        <v>-0.36929738591263001</v>
      </c>
      <c r="K596" s="262">
        <v>-0.78061536870009596</v>
      </c>
      <c r="L596" s="262">
        <v>0.61571680069533885</v>
      </c>
      <c r="M596" s="262">
        <v>-0.16497028949206716</v>
      </c>
      <c r="N596" s="262">
        <v>0.20829170890506923</v>
      </c>
      <c r="O596" s="262">
        <v>0.23147981143744248</v>
      </c>
      <c r="P596" s="262">
        <v>-5.2615983816292809E-2</v>
      </c>
      <c r="Q596" s="262">
        <v>0</v>
      </c>
      <c r="R596" s="262">
        <v>-1.4462153717254437E-2</v>
      </c>
    </row>
    <row r="597" spans="1:18">
      <c r="A597" s="243" t="s">
        <v>620</v>
      </c>
      <c r="C597" s="243">
        <v>6.7225582738518106E-4</v>
      </c>
      <c r="D597" s="262">
        <v>8.1954001950505246E-7</v>
      </c>
      <c r="E597" s="262">
        <v>9.0862792621086686E-4</v>
      </c>
      <c r="F597" s="262">
        <v>3.1764185092835151E-4</v>
      </c>
      <c r="G597" s="262">
        <v>8.0368726614933017E-5</v>
      </c>
      <c r="H597" s="262">
        <v>0</v>
      </c>
      <c r="I597" s="262">
        <v>0</v>
      </c>
      <c r="J597" s="262">
        <v>6.0531722116775953E-4</v>
      </c>
      <c r="K597" s="262">
        <v>5.5300187468979101E-3</v>
      </c>
      <c r="L597" s="262">
        <v>6.8084858453044386E-4</v>
      </c>
      <c r="M597" s="262">
        <v>6.9268635635430379E-4</v>
      </c>
      <c r="N597" s="262">
        <v>1.8720119939626706E-4</v>
      </c>
      <c r="O597" s="262">
        <v>1.0680304222151836E-3</v>
      </c>
      <c r="P597" s="262">
        <v>0</v>
      </c>
      <c r="Q597" s="262">
        <v>0</v>
      </c>
      <c r="R597" s="262">
        <v>0</v>
      </c>
    </row>
    <row r="598" spans="1:18">
      <c r="A598" s="243" t="s">
        <v>621</v>
      </c>
      <c r="C598" s="243">
        <v>5.019461514361752E-4</v>
      </c>
      <c r="D598" s="262">
        <v>1.2882361920940516E-6</v>
      </c>
      <c r="E598" s="262">
        <v>8.8337532879764497E-4</v>
      </c>
      <c r="F598" s="262">
        <v>3.1588632336512914E-4</v>
      </c>
      <c r="G598" s="262">
        <v>6.4032403374358749E-5</v>
      </c>
      <c r="H598" s="262">
        <v>0</v>
      </c>
      <c r="I598" s="262">
        <v>0</v>
      </c>
      <c r="J598" s="262">
        <v>5.099380637161486E-4</v>
      </c>
      <c r="K598" s="262">
        <v>7.2638105373169625E-3</v>
      </c>
      <c r="L598" s="262">
        <v>6.5789883109958777E-4</v>
      </c>
      <c r="M598" s="262">
        <v>2.3103007091176619E-4</v>
      </c>
      <c r="N598" s="262">
        <v>1.4030734259229901E-4</v>
      </c>
      <c r="O598" s="262">
        <v>1.0314613140432903E-3</v>
      </c>
      <c r="P598" s="262">
        <v>0</v>
      </c>
      <c r="Q598" s="262">
        <v>0</v>
      </c>
      <c r="R598" s="262">
        <v>0</v>
      </c>
    </row>
    <row r="599" spans="1:18">
      <c r="A599" s="243" t="s">
        <v>622</v>
      </c>
      <c r="C599" s="243">
        <v>-1.7030967594900585E-2</v>
      </c>
      <c r="D599" s="262">
        <v>4.6869617258899912E-5</v>
      </c>
      <c r="E599" s="262">
        <v>-2.5252597413221887E-3</v>
      </c>
      <c r="F599" s="262">
        <v>-1.7555275632223687E-4</v>
      </c>
      <c r="G599" s="262">
        <v>-1.6336323240574268E-3</v>
      </c>
      <c r="H599" s="262">
        <v>0</v>
      </c>
      <c r="I599" s="262">
        <v>0</v>
      </c>
      <c r="J599" s="262">
        <v>-9.5379157451610918E-3</v>
      </c>
      <c r="K599" s="262">
        <v>0.17337917904190525</v>
      </c>
      <c r="L599" s="262">
        <v>-2.2949753430856088E-3</v>
      </c>
      <c r="M599" s="262">
        <v>-4.616562854425376E-2</v>
      </c>
      <c r="N599" s="262">
        <v>-4.6893856803968056E-3</v>
      </c>
      <c r="O599" s="262">
        <v>-3.6569108171893286E-3</v>
      </c>
      <c r="P599" s="262">
        <v>0</v>
      </c>
      <c r="Q599" s="262">
        <v>0</v>
      </c>
      <c r="R599" s="262">
        <v>0</v>
      </c>
    </row>
    <row r="600" spans="1:18">
      <c r="A600" s="243" t="s">
        <v>623</v>
      </c>
      <c r="C600" s="243">
        <v>0.79708651471855851</v>
      </c>
      <c r="D600" s="262">
        <v>0.73631367613353971</v>
      </c>
      <c r="E600" s="262">
        <v>0.60375921510175412</v>
      </c>
      <c r="F600" s="262">
        <v>0.67657063693171537</v>
      </c>
      <c r="G600" s="262">
        <v>0.57703295447553249</v>
      </c>
      <c r="H600" s="262">
        <v>0.64450108703800879</v>
      </c>
      <c r="I600" s="262">
        <v>0</v>
      </c>
      <c r="J600" s="262">
        <v>0.70897362872425485</v>
      </c>
      <c r="K600" s="262">
        <v>0</v>
      </c>
      <c r="L600" s="262">
        <v>0</v>
      </c>
      <c r="M600" s="262">
        <v>0</v>
      </c>
      <c r="N600" s="262">
        <v>1</v>
      </c>
      <c r="O600" s="262">
        <v>1</v>
      </c>
      <c r="P600" s="262">
        <v>0</v>
      </c>
      <c r="Q600" s="262">
        <v>0</v>
      </c>
      <c r="R600" s="262">
        <v>0</v>
      </c>
    </row>
    <row r="601" spans="1:18">
      <c r="A601" s="243" t="s">
        <v>624</v>
      </c>
      <c r="C601" s="243">
        <v>0.78427989659035036</v>
      </c>
      <c r="D601" s="262">
        <v>0.76324436893460279</v>
      </c>
      <c r="E601" s="262">
        <v>0.59974852234366793</v>
      </c>
      <c r="F601" s="262">
        <v>0.54342217130898363</v>
      </c>
      <c r="G601" s="262">
        <v>0.51420445055285924</v>
      </c>
      <c r="H601" s="262">
        <v>0.55184668105089474</v>
      </c>
      <c r="I601" s="262">
        <v>0</v>
      </c>
      <c r="J601" s="262">
        <v>0.70032983662649761</v>
      </c>
      <c r="K601" s="262">
        <v>0</v>
      </c>
      <c r="L601" s="262">
        <v>0</v>
      </c>
      <c r="M601" s="262">
        <v>0</v>
      </c>
      <c r="N601" s="262">
        <v>0</v>
      </c>
      <c r="O601" s="262">
        <v>0</v>
      </c>
      <c r="P601" s="262">
        <v>0</v>
      </c>
      <c r="Q601" s="262">
        <v>0</v>
      </c>
      <c r="R601" s="262">
        <v>0</v>
      </c>
    </row>
    <row r="602" spans="1:18">
      <c r="A602" s="243" t="s">
        <v>625</v>
      </c>
      <c r="C602" s="243">
        <v>-1.2806618128208158</v>
      </c>
      <c r="D602" s="262">
        <v>2.6930692801063083</v>
      </c>
      <c r="E602" s="262">
        <v>-0.40106927580861873</v>
      </c>
      <c r="F602" s="262">
        <v>-13.314846562273175</v>
      </c>
      <c r="G602" s="262">
        <v>-6.2828503922673251</v>
      </c>
      <c r="H602" s="262">
        <v>-9.2654405987114057</v>
      </c>
      <c r="I602" s="262">
        <v>0</v>
      </c>
      <c r="J602" s="262">
        <v>-0.86437920977572302</v>
      </c>
      <c r="K602" s="262">
        <v>0</v>
      </c>
      <c r="L602" s="262">
        <v>0</v>
      </c>
      <c r="M602" s="262">
        <v>0</v>
      </c>
      <c r="N602" s="262">
        <v>-100</v>
      </c>
      <c r="O602" s="262">
        <v>-100</v>
      </c>
      <c r="P602" s="262">
        <v>0</v>
      </c>
      <c r="Q602" s="262">
        <v>0</v>
      </c>
      <c r="R602" s="262">
        <v>0</v>
      </c>
    </row>
    <row r="603" spans="1:18">
      <c r="A603" s="243" t="s">
        <v>626</v>
      </c>
      <c r="C603" s="243">
        <v>6.8308566982553581E-2</v>
      </c>
      <c r="D603" s="262">
        <v>7.6490022418718731E-2</v>
      </c>
      <c r="E603" s="262">
        <v>0.11473622008876691</v>
      </c>
      <c r="F603" s="262">
        <v>8.1986813988408194E-2</v>
      </c>
      <c r="G603" s="262">
        <v>2.7447412603394776E-2</v>
      </c>
      <c r="H603" s="262">
        <v>0.12002398980433315</v>
      </c>
      <c r="I603" s="262">
        <v>3.1370753249360166E-2</v>
      </c>
      <c r="J603" s="262">
        <v>7.9688953941450744E-2</v>
      </c>
      <c r="K603" s="262">
        <v>0</v>
      </c>
      <c r="L603" s="262">
        <v>0</v>
      </c>
      <c r="M603" s="262">
        <v>0</v>
      </c>
      <c r="N603" s="262">
        <v>0</v>
      </c>
      <c r="O603" s="262">
        <v>0</v>
      </c>
      <c r="P603" s="262">
        <v>0</v>
      </c>
      <c r="Q603" s="262">
        <v>0</v>
      </c>
      <c r="R603" s="262">
        <v>0</v>
      </c>
    </row>
    <row r="604" spans="1:18">
      <c r="A604" s="243" t="s">
        <v>627</v>
      </c>
      <c r="C604" s="243">
        <v>6.9636220642846941E-2</v>
      </c>
      <c r="D604" s="262">
        <v>7.8274669983286957E-2</v>
      </c>
      <c r="E604" s="262">
        <v>0.10231930935803549</v>
      </c>
      <c r="F604" s="262">
        <v>7.5002795305574368E-2</v>
      </c>
      <c r="G604" s="262">
        <v>3.674593289333658E-2</v>
      </c>
      <c r="H604" s="262">
        <v>0.15027287726868893</v>
      </c>
      <c r="I604" s="262">
        <v>0</v>
      </c>
      <c r="J604" s="262">
        <v>7.6267381156404607E-2</v>
      </c>
      <c r="K604" s="262">
        <v>0</v>
      </c>
      <c r="L604" s="262">
        <v>0</v>
      </c>
      <c r="M604" s="262">
        <v>0</v>
      </c>
      <c r="N604" s="262">
        <v>0</v>
      </c>
      <c r="O604" s="262">
        <v>0</v>
      </c>
      <c r="P604" s="262">
        <v>0</v>
      </c>
      <c r="Q604" s="262">
        <v>0</v>
      </c>
      <c r="R604" s="262">
        <v>0</v>
      </c>
    </row>
    <row r="605" spans="1:18">
      <c r="A605" s="243" t="s">
        <v>628</v>
      </c>
      <c r="C605" s="243">
        <v>0.13276536602933597</v>
      </c>
      <c r="D605" s="262">
        <v>0.17846475645682258</v>
      </c>
      <c r="E605" s="262">
        <v>-1.2416910730731423</v>
      </c>
      <c r="F605" s="262">
        <v>-0.69840186828338258</v>
      </c>
      <c r="G605" s="262">
        <v>0.9298520289941804</v>
      </c>
      <c r="H605" s="262">
        <v>3.024888746435578</v>
      </c>
      <c r="I605" s="262">
        <v>-3.1370753249360166</v>
      </c>
      <c r="J605" s="262">
        <v>-0.34215727850461369</v>
      </c>
      <c r="K605" s="262">
        <v>0</v>
      </c>
      <c r="L605" s="262">
        <v>0</v>
      </c>
      <c r="M605" s="262">
        <v>0</v>
      </c>
      <c r="N605" s="262">
        <v>0</v>
      </c>
      <c r="O605" s="262">
        <v>0</v>
      </c>
      <c r="P605" s="262">
        <v>0</v>
      </c>
      <c r="Q605" s="262">
        <v>0</v>
      </c>
      <c r="R605" s="262">
        <v>0</v>
      </c>
    </row>
    <row r="606" spans="1:18">
      <c r="A606" s="243" t="s">
        <v>629</v>
      </c>
      <c r="C606" s="243">
        <v>0.11208991488792049</v>
      </c>
      <c r="D606" s="262">
        <v>0.17699346031314694</v>
      </c>
      <c r="E606" s="262">
        <v>0.21340336444512792</v>
      </c>
      <c r="F606" s="262">
        <v>0.23286855314186214</v>
      </c>
      <c r="G606" s="262">
        <v>0.35639443404270282</v>
      </c>
      <c r="H606" s="262">
        <v>0.20758677562036135</v>
      </c>
      <c r="I606" s="262">
        <v>0.96862924675063988</v>
      </c>
      <c r="J606" s="262">
        <v>0.17856158227949492</v>
      </c>
      <c r="K606" s="262">
        <v>0</v>
      </c>
      <c r="L606" s="262">
        <v>0</v>
      </c>
      <c r="M606" s="262">
        <v>0</v>
      </c>
      <c r="N606" s="262">
        <v>0</v>
      </c>
      <c r="O606" s="262">
        <v>0</v>
      </c>
      <c r="P606" s="262">
        <v>0</v>
      </c>
      <c r="Q606" s="262">
        <v>0</v>
      </c>
      <c r="R606" s="262">
        <v>0</v>
      </c>
    </row>
    <row r="607" spans="1:18">
      <c r="A607" s="243" t="s">
        <v>630</v>
      </c>
      <c r="C607" s="243">
        <v>0.11951012205769972</v>
      </c>
      <c r="D607" s="262">
        <v>0.15276783951447898</v>
      </c>
      <c r="E607" s="262">
        <v>0.25151473180792466</v>
      </c>
      <c r="F607" s="262">
        <v>0.37202458181173775</v>
      </c>
      <c r="G607" s="262">
        <v>0.40290245147866588</v>
      </c>
      <c r="H607" s="262">
        <v>0.26608706688666073</v>
      </c>
      <c r="I607" s="262">
        <v>1</v>
      </c>
      <c r="J607" s="262">
        <v>0.19529245271196352</v>
      </c>
      <c r="K607" s="262">
        <v>0</v>
      </c>
      <c r="L607" s="262">
        <v>0</v>
      </c>
      <c r="M607" s="262">
        <v>0</v>
      </c>
      <c r="N607" s="262">
        <v>0</v>
      </c>
      <c r="O607" s="262">
        <v>0</v>
      </c>
      <c r="P607" s="262">
        <v>0</v>
      </c>
      <c r="Q607" s="262">
        <v>0</v>
      </c>
      <c r="R607" s="262">
        <v>0</v>
      </c>
    </row>
    <row r="608" spans="1:18">
      <c r="A608" s="243" t="s">
        <v>631</v>
      </c>
      <c r="C608" s="243">
        <v>0.74202071697792304</v>
      </c>
      <c r="D608" s="262">
        <v>-2.4225620798667968</v>
      </c>
      <c r="E608" s="262">
        <v>3.8111367362796744</v>
      </c>
      <c r="F608" s="262">
        <v>13.915602866987561</v>
      </c>
      <c r="G608" s="262">
        <v>4.6508017435963058</v>
      </c>
      <c r="H608" s="262">
        <v>5.8500291266299378</v>
      </c>
      <c r="I608" s="262">
        <v>3.1370753249360117</v>
      </c>
      <c r="J608" s="262">
        <v>1.6730870432468596</v>
      </c>
      <c r="K608" s="262">
        <v>0</v>
      </c>
      <c r="L608" s="262">
        <v>0</v>
      </c>
      <c r="M608" s="262">
        <v>0</v>
      </c>
      <c r="N608" s="262">
        <v>0</v>
      </c>
      <c r="O608" s="262">
        <v>0</v>
      </c>
      <c r="P608" s="262">
        <v>0</v>
      </c>
      <c r="Q608" s="262">
        <v>0</v>
      </c>
      <c r="R608" s="262">
        <v>0</v>
      </c>
    </row>
    <row r="609" spans="1:18">
      <c r="A609" s="243" t="s">
        <v>632</v>
      </c>
      <c r="C609" s="243">
        <v>3.0769028928853115E-3</v>
      </c>
      <c r="D609" s="262">
        <v>8.0485703150419956E-3</v>
      </c>
      <c r="E609" s="262">
        <v>5.5103308846103363E-3</v>
      </c>
      <c r="F609" s="262">
        <v>5.1502802358363619E-3</v>
      </c>
      <c r="G609" s="262">
        <v>3.5297064950818809E-2</v>
      </c>
      <c r="H609" s="262">
        <v>2.4514581302946249E-2</v>
      </c>
      <c r="I609" s="262">
        <v>0</v>
      </c>
      <c r="J609" s="262">
        <v>5.2795301063319876E-3</v>
      </c>
      <c r="K609" s="262">
        <v>0</v>
      </c>
      <c r="L609" s="262">
        <v>0</v>
      </c>
      <c r="M609" s="262">
        <v>0</v>
      </c>
      <c r="N609" s="262">
        <v>0</v>
      </c>
      <c r="O609" s="262">
        <v>0</v>
      </c>
      <c r="P609" s="262">
        <v>0</v>
      </c>
      <c r="Q609" s="262">
        <v>0</v>
      </c>
      <c r="R609" s="262">
        <v>0</v>
      </c>
    </row>
    <row r="610" spans="1:18">
      <c r="A610" s="243" t="s">
        <v>633</v>
      </c>
      <c r="C610" s="243">
        <v>5.8122767101550562E-3</v>
      </c>
      <c r="D610" s="262">
        <v>4.114755397158153E-3</v>
      </c>
      <c r="E610" s="262">
        <v>8.3885912404951055E-3</v>
      </c>
      <c r="F610" s="262">
        <v>7.6644114352259138E-3</v>
      </c>
      <c r="G610" s="262">
        <v>4.1694703336244372E-2</v>
      </c>
      <c r="H610" s="262">
        <v>2.7033887549181367E-2</v>
      </c>
      <c r="I610" s="262">
        <v>0</v>
      </c>
      <c r="J610" s="262">
        <v>7.207689218624639E-3</v>
      </c>
      <c r="K610" s="262">
        <v>0</v>
      </c>
      <c r="L610" s="262">
        <v>0</v>
      </c>
      <c r="M610" s="262">
        <v>0</v>
      </c>
      <c r="N610" s="262">
        <v>0</v>
      </c>
      <c r="O610" s="262">
        <v>0</v>
      </c>
      <c r="P610" s="262">
        <v>0</v>
      </c>
      <c r="Q610" s="262">
        <v>0</v>
      </c>
      <c r="R610" s="262">
        <v>0</v>
      </c>
    </row>
    <row r="611" spans="1:18">
      <c r="A611" s="243" t="s">
        <v>634</v>
      </c>
      <c r="C611" s="243">
        <v>0.27353738172697445</v>
      </c>
      <c r="D611" s="262">
        <v>-0.39338149178838427</v>
      </c>
      <c r="E611" s="262">
        <v>0.28782603558847691</v>
      </c>
      <c r="F611" s="262">
        <v>0.25141311993895521</v>
      </c>
      <c r="G611" s="262">
        <v>0.63976383854255636</v>
      </c>
      <c r="H611" s="262">
        <v>0.25193062462351179</v>
      </c>
      <c r="I611" s="262">
        <v>0</v>
      </c>
      <c r="J611" s="262">
        <v>0.19281591122926514</v>
      </c>
      <c r="K611" s="262">
        <v>0</v>
      </c>
      <c r="L611" s="262">
        <v>0</v>
      </c>
      <c r="M611" s="262">
        <v>0</v>
      </c>
      <c r="N611" s="262">
        <v>0</v>
      </c>
      <c r="O611" s="262">
        <v>0</v>
      </c>
      <c r="P611" s="262">
        <v>0</v>
      </c>
      <c r="Q611" s="262">
        <v>0</v>
      </c>
      <c r="R611" s="262">
        <v>0</v>
      </c>
    </row>
    <row r="612" spans="1:18">
      <c r="A612" s="243" t="s">
        <v>635</v>
      </c>
      <c r="C612" s="243">
        <v>1.7681798515878918E-2</v>
      </c>
      <c r="D612" s="262">
        <v>2.1542708195525554E-3</v>
      </c>
      <c r="E612" s="262">
        <v>5.4618859391925803E-2</v>
      </c>
      <c r="F612" s="262">
        <v>3.4237157021779125E-3</v>
      </c>
      <c r="G612" s="262">
        <v>3.7578122939795891E-3</v>
      </c>
      <c r="H612" s="262">
        <v>3.3735662343504012E-3</v>
      </c>
      <c r="I612" s="262">
        <v>0</v>
      </c>
      <c r="J612" s="262">
        <v>2.4446683383875664E-2</v>
      </c>
      <c r="K612" s="262">
        <v>0</v>
      </c>
      <c r="L612" s="262">
        <v>0</v>
      </c>
      <c r="M612" s="262">
        <v>0</v>
      </c>
      <c r="N612" s="262">
        <v>0</v>
      </c>
      <c r="O612" s="262">
        <v>0</v>
      </c>
      <c r="P612" s="262">
        <v>0</v>
      </c>
      <c r="Q612" s="262">
        <v>0</v>
      </c>
      <c r="R612" s="262">
        <v>0</v>
      </c>
    </row>
    <row r="613" spans="1:18">
      <c r="A613" s="243" t="s">
        <v>636</v>
      </c>
      <c r="C613" s="243">
        <v>1.9333247668815761E-2</v>
      </c>
      <c r="D613" s="262">
        <v>1.5945934729818269E-3</v>
      </c>
      <c r="E613" s="262">
        <v>3.1628029165687917E-2</v>
      </c>
      <c r="F613" s="262">
        <v>1.8860401384783833E-3</v>
      </c>
      <c r="G613" s="262">
        <v>4.4524617388938996E-3</v>
      </c>
      <c r="H613" s="262">
        <v>4.7594872445741844E-3</v>
      </c>
      <c r="I613" s="262">
        <v>0</v>
      </c>
      <c r="J613" s="262">
        <v>1.8603929873235964E-2</v>
      </c>
      <c r="K613" s="262">
        <v>0</v>
      </c>
      <c r="L613" s="262">
        <v>0</v>
      </c>
      <c r="M613" s="262">
        <v>0</v>
      </c>
      <c r="N613" s="262">
        <v>0</v>
      </c>
      <c r="O613" s="262">
        <v>0</v>
      </c>
      <c r="P613" s="262">
        <v>0</v>
      </c>
      <c r="Q613" s="262">
        <v>0</v>
      </c>
      <c r="R613" s="262">
        <v>0</v>
      </c>
    </row>
    <row r="614" spans="1:18">
      <c r="A614" s="243" t="s">
        <v>637</v>
      </c>
      <c r="C614" s="243">
        <v>0.1651449152936843</v>
      </c>
      <c r="D614" s="262">
        <v>-5.5967734657072846E-2</v>
      </c>
      <c r="E614" s="262">
        <v>-2.2990830226237886</v>
      </c>
      <c r="F614" s="262">
        <v>-0.15376755636995293</v>
      </c>
      <c r="G614" s="262">
        <v>6.9464944491431063E-2</v>
      </c>
      <c r="H614" s="262">
        <v>0.13859210102237832</v>
      </c>
      <c r="I614" s="262">
        <v>0</v>
      </c>
      <c r="J614" s="262">
        <v>-0.58427535106396999</v>
      </c>
      <c r="K614" s="262">
        <v>0</v>
      </c>
      <c r="L614" s="262">
        <v>0</v>
      </c>
      <c r="M614" s="262">
        <v>0</v>
      </c>
      <c r="N614" s="262">
        <v>0</v>
      </c>
      <c r="O614" s="262">
        <v>0</v>
      </c>
      <c r="P614" s="262">
        <v>0</v>
      </c>
      <c r="Q614" s="262">
        <v>0</v>
      </c>
      <c r="R614" s="262">
        <v>0</v>
      </c>
    </row>
    <row r="615" spans="1:18">
      <c r="A615" s="243" t="s">
        <v>638</v>
      </c>
      <c r="C615" s="243">
        <v>1.7563020022031792E-3</v>
      </c>
      <c r="D615" s="262">
        <v>0</v>
      </c>
      <c r="E615" s="262">
        <v>7.9720100878149132E-3</v>
      </c>
      <c r="F615" s="262">
        <v>0</v>
      </c>
      <c r="G615" s="262">
        <v>7.0321633571547866E-5</v>
      </c>
      <c r="H615" s="262">
        <v>0</v>
      </c>
      <c r="I615" s="262">
        <v>0</v>
      </c>
      <c r="J615" s="262">
        <v>3.0496215645918669E-3</v>
      </c>
      <c r="K615" s="262">
        <v>0</v>
      </c>
      <c r="L615" s="262">
        <v>0</v>
      </c>
      <c r="M615" s="262">
        <v>0</v>
      </c>
      <c r="N615" s="262">
        <v>0</v>
      </c>
      <c r="O615" s="262">
        <v>0</v>
      </c>
      <c r="P615" s="262">
        <v>0</v>
      </c>
      <c r="Q615" s="262">
        <v>0</v>
      </c>
      <c r="R615" s="262">
        <v>0</v>
      </c>
    </row>
    <row r="616" spans="1:18">
      <c r="A616" s="243" t="s">
        <v>639</v>
      </c>
      <c r="C616" s="243">
        <v>1.4282363301320673E-3</v>
      </c>
      <c r="D616" s="262">
        <v>3.772697491281925E-6</v>
      </c>
      <c r="E616" s="262">
        <v>6.4008160841888722E-3</v>
      </c>
      <c r="F616" s="262">
        <v>0</v>
      </c>
      <c r="G616" s="262">
        <v>0</v>
      </c>
      <c r="H616" s="262">
        <v>0</v>
      </c>
      <c r="I616" s="262">
        <v>0</v>
      </c>
      <c r="J616" s="262">
        <v>2.2987104132736799E-3</v>
      </c>
      <c r="K616" s="262">
        <v>0</v>
      </c>
      <c r="L616" s="262">
        <v>0</v>
      </c>
      <c r="M616" s="262">
        <v>0</v>
      </c>
      <c r="N616" s="262">
        <v>0</v>
      </c>
      <c r="O616" s="262">
        <v>0</v>
      </c>
      <c r="P616" s="262">
        <v>0</v>
      </c>
      <c r="Q616" s="262">
        <v>0</v>
      </c>
      <c r="R616" s="262">
        <v>0</v>
      </c>
    </row>
    <row r="617" spans="1:18">
      <c r="A617" s="243" t="s">
        <v>640</v>
      </c>
      <c r="C617" s="243">
        <v>-3.2806567207111184E-2</v>
      </c>
      <c r="D617" s="262">
        <v>0</v>
      </c>
      <c r="E617" s="262">
        <v>-0.15711940036260411</v>
      </c>
      <c r="F617" s="262">
        <v>0</v>
      </c>
      <c r="G617" s="262">
        <v>-7.0321633571547868E-3</v>
      </c>
      <c r="H617" s="262">
        <v>0</v>
      </c>
      <c r="I617" s="262">
        <v>0</v>
      </c>
      <c r="J617" s="262">
        <v>-7.5091115131818709E-2</v>
      </c>
      <c r="K617" s="262">
        <v>0</v>
      </c>
      <c r="L617" s="262">
        <v>0</v>
      </c>
      <c r="M617" s="262">
        <v>0</v>
      </c>
      <c r="N617" s="262">
        <v>0</v>
      </c>
      <c r="O617" s="262">
        <v>0</v>
      </c>
      <c r="P617" s="262">
        <v>0</v>
      </c>
      <c r="Q617" s="262">
        <v>0</v>
      </c>
      <c r="R617" s="26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3">
    <tabColor rgb="FF006600"/>
  </sheetPr>
  <dimension ref="A1:T621"/>
  <sheetViews>
    <sheetView workbookViewId="0">
      <pane xSplit="2" ySplit="5" topLeftCell="I6" activePane="bottomRight" state="frozen"/>
      <selection pane="topRight" activeCell="C1" sqref="C1"/>
      <selection pane="bottomLeft" activeCell="A6" sqref="A6"/>
      <selection pane="bottomRight" activeCell="M12" sqref="M12"/>
    </sheetView>
  </sheetViews>
  <sheetFormatPr defaultColWidth="9.140625" defaultRowHeight="15"/>
  <cols>
    <col min="1" max="1" width="6.140625" style="28" customWidth="1"/>
    <col min="2" max="2" width="26.85546875" style="28" customWidth="1"/>
    <col min="3" max="6" width="11.42578125" style="28" customWidth="1"/>
    <col min="7" max="9" width="11.42578125" style="28" bestFit="1" customWidth="1"/>
    <col min="10" max="10" width="11.5703125" style="28" customWidth="1"/>
    <col min="11" max="14" width="11.140625" style="28" customWidth="1"/>
    <col min="15" max="16" width="11.5703125" style="28" customWidth="1"/>
    <col min="17" max="18" width="11.5703125" style="28" bestFit="1" customWidth="1"/>
    <col min="19" max="19" width="8" style="28" customWidth="1"/>
    <col min="20" max="20" width="8" customWidth="1"/>
    <col min="21" max="22" width="10.5703125" bestFit="1" customWidth="1"/>
  </cols>
  <sheetData>
    <row r="1" spans="1:20">
      <c r="A1" s="28" t="s">
        <v>641</v>
      </c>
    </row>
    <row r="3" spans="1:20">
      <c r="A3" s="295"/>
      <c r="B3" s="296"/>
      <c r="C3" s="264" t="s">
        <v>564</v>
      </c>
      <c r="D3" s="267" t="s">
        <v>11</v>
      </c>
      <c r="E3" s="267"/>
      <c r="F3" s="267"/>
      <c r="G3" s="267"/>
      <c r="H3" s="267"/>
      <c r="I3" s="267"/>
      <c r="J3" s="267"/>
      <c r="K3" s="267"/>
      <c r="L3" s="267"/>
      <c r="M3" s="267"/>
      <c r="N3" s="267"/>
      <c r="O3" s="267"/>
      <c r="P3" s="267"/>
      <c r="Q3" s="267"/>
      <c r="R3" s="267"/>
      <c r="S3" s="267"/>
      <c r="T3" s="268"/>
    </row>
    <row r="4" spans="1:20">
      <c r="A4" s="295"/>
      <c r="B4" s="296"/>
      <c r="C4" s="264" t="s">
        <v>565</v>
      </c>
      <c r="D4" s="265"/>
      <c r="E4" s="265"/>
      <c r="F4" s="265"/>
      <c r="G4" s="265"/>
      <c r="H4" s="265"/>
      <c r="I4" s="265"/>
      <c r="J4" s="264" t="s">
        <v>565</v>
      </c>
      <c r="K4" s="264" t="s">
        <v>566</v>
      </c>
      <c r="L4" s="265"/>
      <c r="M4" s="265"/>
      <c r="N4" s="265"/>
      <c r="O4" s="264" t="s">
        <v>566</v>
      </c>
      <c r="P4" s="264" t="s">
        <v>567</v>
      </c>
      <c r="Q4" s="265"/>
      <c r="R4" s="264" t="s">
        <v>567</v>
      </c>
      <c r="S4" s="264" t="s">
        <v>541</v>
      </c>
      <c r="T4" s="274" t="s">
        <v>541</v>
      </c>
    </row>
    <row r="5" spans="1:20">
      <c r="A5" s="295" t="s">
        <v>5</v>
      </c>
      <c r="B5" s="264" t="s">
        <v>568</v>
      </c>
      <c r="C5" s="264">
        <v>1</v>
      </c>
      <c r="D5" s="275">
        <v>2</v>
      </c>
      <c r="E5" s="275">
        <v>3</v>
      </c>
      <c r="F5" s="275">
        <v>4</v>
      </c>
      <c r="G5" s="275">
        <v>5</v>
      </c>
      <c r="H5" s="275">
        <v>6</v>
      </c>
      <c r="I5" s="275">
        <v>15</v>
      </c>
      <c r="J5" s="277"/>
      <c r="K5" s="264">
        <v>7</v>
      </c>
      <c r="L5" s="275">
        <v>8</v>
      </c>
      <c r="M5" s="275">
        <v>9</v>
      </c>
      <c r="N5" s="275">
        <v>10</v>
      </c>
      <c r="O5" s="277"/>
      <c r="P5" s="264">
        <v>12</v>
      </c>
      <c r="Q5" s="275">
        <v>13</v>
      </c>
      <c r="R5" s="277"/>
      <c r="S5" s="264" t="s">
        <v>541</v>
      </c>
      <c r="T5" s="279"/>
    </row>
    <row r="6" spans="1:20">
      <c r="A6" s="297" t="s">
        <v>40</v>
      </c>
      <c r="B6" s="264" t="s">
        <v>642</v>
      </c>
      <c r="C6" s="303">
        <v>1465149</v>
      </c>
      <c r="D6" s="304">
        <v>149784</v>
      </c>
      <c r="E6" s="304">
        <v>902530</v>
      </c>
      <c r="F6" s="304">
        <v>407413</v>
      </c>
      <c r="G6" s="304">
        <v>121448</v>
      </c>
      <c r="H6" s="304">
        <v>79691</v>
      </c>
      <c r="I6" s="304"/>
      <c r="J6" s="303">
        <v>3126015</v>
      </c>
      <c r="K6" s="303"/>
      <c r="L6" s="304">
        <v>375311</v>
      </c>
      <c r="M6" s="304">
        <v>1068670</v>
      </c>
      <c r="N6" s="304">
        <v>438826</v>
      </c>
      <c r="O6" s="303">
        <v>1882807</v>
      </c>
      <c r="P6" s="309">
        <v>36758</v>
      </c>
      <c r="Q6" s="304">
        <v>15632</v>
      </c>
      <c r="R6" s="303">
        <v>52390</v>
      </c>
      <c r="S6" s="303"/>
      <c r="T6" s="305"/>
    </row>
    <row r="7" spans="1:20">
      <c r="A7" s="294"/>
      <c r="B7" s="286" t="s">
        <v>646</v>
      </c>
      <c r="C7" s="306">
        <v>1500763</v>
      </c>
      <c r="D7" s="310">
        <v>157888</v>
      </c>
      <c r="E7" s="310">
        <v>931035</v>
      </c>
      <c r="F7" s="310">
        <v>413035</v>
      </c>
      <c r="G7" s="310">
        <v>125551</v>
      </c>
      <c r="H7" s="310">
        <v>83699</v>
      </c>
      <c r="I7" s="310"/>
      <c r="J7" s="306">
        <v>3211971</v>
      </c>
      <c r="K7" s="306"/>
      <c r="L7" s="310">
        <v>399930</v>
      </c>
      <c r="M7" s="310">
        <v>1203835</v>
      </c>
      <c r="N7" s="310">
        <v>482971</v>
      </c>
      <c r="O7" s="306">
        <v>2086736</v>
      </c>
      <c r="P7" s="311">
        <v>44426</v>
      </c>
      <c r="Q7" s="310">
        <v>20285</v>
      </c>
      <c r="R7" s="306">
        <v>64711</v>
      </c>
      <c r="S7" s="306"/>
      <c r="T7" s="308"/>
    </row>
    <row r="8" spans="1:20">
      <c r="A8" s="294"/>
      <c r="B8" s="286" t="s">
        <v>643</v>
      </c>
      <c r="C8" s="306">
        <v>48700</v>
      </c>
      <c r="D8" s="310">
        <v>2124</v>
      </c>
      <c r="E8" s="310">
        <v>108782</v>
      </c>
      <c r="F8" s="310">
        <v>22977</v>
      </c>
      <c r="G8" s="310">
        <v>3149</v>
      </c>
      <c r="H8" s="310">
        <v>54671</v>
      </c>
      <c r="I8" s="310">
        <v>0</v>
      </c>
      <c r="J8" s="306">
        <v>240403</v>
      </c>
      <c r="K8" s="306">
        <v>0</v>
      </c>
      <c r="L8" s="310">
        <v>46530</v>
      </c>
      <c r="M8" s="310">
        <v>117765</v>
      </c>
      <c r="N8" s="310">
        <v>75449</v>
      </c>
      <c r="O8" s="306">
        <v>239744</v>
      </c>
      <c r="P8" s="311">
        <v>3120</v>
      </c>
      <c r="Q8" s="310">
        <v>0</v>
      </c>
      <c r="R8" s="306">
        <v>3120</v>
      </c>
      <c r="S8" s="306">
        <v>0</v>
      </c>
      <c r="T8" s="308">
        <v>0</v>
      </c>
    </row>
    <row r="9" spans="1:20">
      <c r="A9" s="294"/>
      <c r="B9" s="286" t="s">
        <v>647</v>
      </c>
      <c r="C9" s="306">
        <v>57832</v>
      </c>
      <c r="D9" s="310">
        <v>1091</v>
      </c>
      <c r="E9" s="310">
        <v>132909</v>
      </c>
      <c r="F9" s="310">
        <v>27298</v>
      </c>
      <c r="G9" s="310">
        <v>3421</v>
      </c>
      <c r="H9" s="310">
        <v>58559</v>
      </c>
      <c r="I9" s="310">
        <v>0</v>
      </c>
      <c r="J9" s="306">
        <v>281110</v>
      </c>
      <c r="K9" s="306">
        <v>0</v>
      </c>
      <c r="L9" s="310">
        <v>56646</v>
      </c>
      <c r="M9" s="310">
        <v>145522</v>
      </c>
      <c r="N9" s="310">
        <v>90044</v>
      </c>
      <c r="O9" s="306">
        <v>292212</v>
      </c>
      <c r="P9" s="311">
        <v>4551</v>
      </c>
      <c r="Q9" s="310">
        <v>0</v>
      </c>
      <c r="R9" s="306">
        <v>4551</v>
      </c>
      <c r="S9" s="306">
        <v>0</v>
      </c>
      <c r="T9" s="308">
        <v>0</v>
      </c>
    </row>
    <row r="10" spans="1:20">
      <c r="A10" s="294"/>
      <c r="B10" s="286" t="s">
        <v>644</v>
      </c>
      <c r="C10" s="306">
        <v>215682</v>
      </c>
      <c r="D10" s="310">
        <v>21246</v>
      </c>
      <c r="E10" s="310">
        <v>95672</v>
      </c>
      <c r="F10" s="310">
        <v>54027</v>
      </c>
      <c r="G10" s="310">
        <v>49553</v>
      </c>
      <c r="H10" s="310">
        <v>0</v>
      </c>
      <c r="I10" s="310"/>
      <c r="J10" s="306">
        <v>436180</v>
      </c>
      <c r="K10" s="306"/>
      <c r="L10" s="310">
        <v>0</v>
      </c>
      <c r="M10" s="310">
        <v>0</v>
      </c>
      <c r="N10" s="310">
        <v>0</v>
      </c>
      <c r="O10" s="306">
        <v>0</v>
      </c>
      <c r="P10" s="311">
        <v>0</v>
      </c>
      <c r="Q10" s="310">
        <v>0</v>
      </c>
      <c r="R10" s="306">
        <v>0</v>
      </c>
      <c r="S10" s="306"/>
      <c r="T10" s="308"/>
    </row>
    <row r="11" spans="1:20">
      <c r="A11" s="294"/>
      <c r="B11" s="286" t="s">
        <v>648</v>
      </c>
      <c r="C11" s="306">
        <v>203101</v>
      </c>
      <c r="D11" s="310">
        <v>21141</v>
      </c>
      <c r="E11" s="310">
        <v>90071</v>
      </c>
      <c r="F11" s="310">
        <v>46787.5</v>
      </c>
      <c r="G11" s="310">
        <v>95000</v>
      </c>
      <c r="H11" s="310">
        <v>0</v>
      </c>
      <c r="I11" s="310"/>
      <c r="J11" s="306">
        <v>456100.5</v>
      </c>
      <c r="K11" s="306"/>
      <c r="L11" s="310">
        <v>0</v>
      </c>
      <c r="M11" s="310">
        <v>0</v>
      </c>
      <c r="N11" s="310">
        <v>0</v>
      </c>
      <c r="O11" s="306">
        <v>0</v>
      </c>
      <c r="P11" s="311">
        <v>0</v>
      </c>
      <c r="Q11" s="310">
        <v>0</v>
      </c>
      <c r="R11" s="306">
        <v>0</v>
      </c>
      <c r="S11" s="306"/>
      <c r="T11" s="308"/>
    </row>
    <row r="12" spans="1:20">
      <c r="A12" s="294"/>
      <c r="B12" s="286" t="s">
        <v>645</v>
      </c>
      <c r="C12" s="306">
        <v>20445</v>
      </c>
      <c r="D12" s="310">
        <v>2641</v>
      </c>
      <c r="E12" s="310">
        <v>25804</v>
      </c>
      <c r="F12" s="310">
        <v>9756</v>
      </c>
      <c r="G12" s="310">
        <v>36129</v>
      </c>
      <c r="H12" s="310">
        <v>0</v>
      </c>
      <c r="I12" s="310">
        <v>0</v>
      </c>
      <c r="J12" s="306">
        <v>94775</v>
      </c>
      <c r="K12" s="306">
        <v>0</v>
      </c>
      <c r="L12" s="310">
        <v>0</v>
      </c>
      <c r="M12" s="310">
        <v>0</v>
      </c>
      <c r="N12" s="310">
        <v>0</v>
      </c>
      <c r="O12" s="306">
        <v>0</v>
      </c>
      <c r="P12" s="311">
        <v>0</v>
      </c>
      <c r="Q12" s="310">
        <v>0</v>
      </c>
      <c r="R12" s="306">
        <v>0</v>
      </c>
      <c r="S12" s="306">
        <v>0</v>
      </c>
      <c r="T12" s="308">
        <v>0</v>
      </c>
    </row>
    <row r="13" spans="1:20">
      <c r="A13" s="298"/>
      <c r="B13" s="301" t="s">
        <v>649</v>
      </c>
      <c r="C13" s="312">
        <v>26540</v>
      </c>
      <c r="D13" s="313">
        <v>3310</v>
      </c>
      <c r="E13" s="313">
        <v>28134</v>
      </c>
      <c r="F13" s="313">
        <v>10338</v>
      </c>
      <c r="G13" s="313">
        <v>44156</v>
      </c>
      <c r="H13" s="313">
        <v>0</v>
      </c>
      <c r="I13" s="313">
        <v>0</v>
      </c>
      <c r="J13" s="312">
        <v>112478</v>
      </c>
      <c r="K13" s="312">
        <v>0</v>
      </c>
      <c r="L13" s="313">
        <v>0</v>
      </c>
      <c r="M13" s="313">
        <v>0</v>
      </c>
      <c r="N13" s="313">
        <v>0</v>
      </c>
      <c r="O13" s="312">
        <v>0</v>
      </c>
      <c r="P13" s="314">
        <v>0</v>
      </c>
      <c r="Q13" s="313">
        <v>0</v>
      </c>
      <c r="R13" s="312">
        <v>0</v>
      </c>
      <c r="S13" s="312">
        <v>0</v>
      </c>
      <c r="T13" s="315">
        <v>0</v>
      </c>
    </row>
    <row r="14" spans="1:20">
      <c r="A14" s="297" t="s">
        <v>81</v>
      </c>
      <c r="B14" s="264" t="s">
        <v>642</v>
      </c>
      <c r="C14" s="303">
        <v>428450</v>
      </c>
      <c r="D14" s="304"/>
      <c r="E14" s="304">
        <v>768421</v>
      </c>
      <c r="F14" s="304">
        <v>280066</v>
      </c>
      <c r="G14" s="304">
        <v>154608</v>
      </c>
      <c r="H14" s="304">
        <v>251217</v>
      </c>
      <c r="I14" s="304"/>
      <c r="J14" s="303">
        <v>1882762</v>
      </c>
      <c r="K14" s="303"/>
      <c r="L14" s="304">
        <v>190235</v>
      </c>
      <c r="M14" s="304">
        <v>231545</v>
      </c>
      <c r="N14" s="304">
        <v>680448</v>
      </c>
      <c r="O14" s="303">
        <v>1102228</v>
      </c>
      <c r="P14" s="303"/>
      <c r="Q14" s="304"/>
      <c r="R14" s="303"/>
      <c r="S14" s="303"/>
      <c r="T14" s="305"/>
    </row>
    <row r="15" spans="1:20">
      <c r="A15" s="294"/>
      <c r="B15" s="286" t="s">
        <v>646</v>
      </c>
      <c r="C15" s="306">
        <v>440897</v>
      </c>
      <c r="D15" s="307"/>
      <c r="E15" s="307">
        <v>774318</v>
      </c>
      <c r="F15" s="307">
        <v>275738</v>
      </c>
      <c r="G15" s="307">
        <v>143643</v>
      </c>
      <c r="H15" s="307">
        <v>273473</v>
      </c>
      <c r="I15" s="307"/>
      <c r="J15" s="306">
        <v>1908069</v>
      </c>
      <c r="K15" s="306"/>
      <c r="L15" s="307">
        <v>212397</v>
      </c>
      <c r="M15" s="307">
        <v>254364</v>
      </c>
      <c r="N15" s="307">
        <v>754620</v>
      </c>
      <c r="O15" s="306">
        <v>1221381</v>
      </c>
      <c r="P15" s="306"/>
      <c r="Q15" s="307"/>
      <c r="R15" s="306"/>
      <c r="S15" s="306"/>
      <c r="T15" s="308"/>
    </row>
    <row r="16" spans="1:20">
      <c r="A16" s="294"/>
      <c r="B16" s="286" t="s">
        <v>643</v>
      </c>
      <c r="C16" s="306">
        <v>7936</v>
      </c>
      <c r="D16" s="307">
        <v>0</v>
      </c>
      <c r="E16" s="307">
        <v>83012</v>
      </c>
      <c r="F16" s="307">
        <v>26769</v>
      </c>
      <c r="G16" s="307">
        <v>13726</v>
      </c>
      <c r="H16" s="307">
        <v>24465</v>
      </c>
      <c r="I16" s="307">
        <v>0</v>
      </c>
      <c r="J16" s="306">
        <v>155908</v>
      </c>
      <c r="K16" s="306">
        <v>0</v>
      </c>
      <c r="L16" s="307">
        <v>52543</v>
      </c>
      <c r="M16" s="307">
        <v>42886</v>
      </c>
      <c r="N16" s="307">
        <v>99159</v>
      </c>
      <c r="O16" s="306">
        <v>194588</v>
      </c>
      <c r="P16" s="306">
        <v>0</v>
      </c>
      <c r="Q16" s="307">
        <v>0</v>
      </c>
      <c r="R16" s="306">
        <v>0</v>
      </c>
      <c r="S16" s="306">
        <v>0</v>
      </c>
      <c r="T16" s="308">
        <v>0</v>
      </c>
    </row>
    <row r="17" spans="1:20">
      <c r="A17" s="294"/>
      <c r="B17" s="286" t="s">
        <v>647</v>
      </c>
      <c r="C17" s="306">
        <v>9164</v>
      </c>
      <c r="D17" s="307">
        <v>0</v>
      </c>
      <c r="E17" s="307">
        <v>105437</v>
      </c>
      <c r="F17" s="307">
        <v>30996</v>
      </c>
      <c r="G17" s="307">
        <v>15504</v>
      </c>
      <c r="H17" s="307">
        <v>30171</v>
      </c>
      <c r="I17" s="307">
        <v>0</v>
      </c>
      <c r="J17" s="306">
        <v>191272</v>
      </c>
      <c r="K17" s="306">
        <v>0</v>
      </c>
      <c r="L17" s="307">
        <v>62285</v>
      </c>
      <c r="M17" s="307">
        <v>50067</v>
      </c>
      <c r="N17" s="307">
        <v>113269</v>
      </c>
      <c r="O17" s="306">
        <v>225621</v>
      </c>
      <c r="P17" s="306">
        <v>0</v>
      </c>
      <c r="Q17" s="307">
        <v>0</v>
      </c>
      <c r="R17" s="306">
        <v>0</v>
      </c>
      <c r="S17" s="306">
        <v>0</v>
      </c>
      <c r="T17" s="308">
        <v>0</v>
      </c>
    </row>
    <row r="18" spans="1:20">
      <c r="A18" s="294"/>
      <c r="B18" s="286" t="s">
        <v>644</v>
      </c>
      <c r="C18" s="306">
        <v>69769</v>
      </c>
      <c r="D18" s="307"/>
      <c r="E18" s="307">
        <v>112811</v>
      </c>
      <c r="F18" s="307">
        <v>20987</v>
      </c>
      <c r="G18" s="307">
        <v>9625</v>
      </c>
      <c r="H18" s="307">
        <v>2046</v>
      </c>
      <c r="I18" s="307"/>
      <c r="J18" s="306">
        <v>215238</v>
      </c>
      <c r="K18" s="306"/>
      <c r="L18" s="307">
        <v>0</v>
      </c>
      <c r="M18" s="307">
        <v>0</v>
      </c>
      <c r="N18" s="307">
        <v>0</v>
      </c>
      <c r="O18" s="306">
        <v>0</v>
      </c>
      <c r="P18" s="306"/>
      <c r="Q18" s="307"/>
      <c r="R18" s="306"/>
      <c r="S18" s="306"/>
      <c r="T18" s="308"/>
    </row>
    <row r="19" spans="1:20">
      <c r="A19" s="294"/>
      <c r="B19" s="286" t="s">
        <v>648</v>
      </c>
      <c r="C19" s="306">
        <v>72232</v>
      </c>
      <c r="D19" s="307"/>
      <c r="E19" s="307">
        <v>127114</v>
      </c>
      <c r="F19" s="307">
        <v>20858</v>
      </c>
      <c r="G19" s="307">
        <v>10277</v>
      </c>
      <c r="H19" s="307">
        <v>2217</v>
      </c>
      <c r="I19" s="307"/>
      <c r="J19" s="306">
        <v>232698</v>
      </c>
      <c r="K19" s="306"/>
      <c r="L19" s="307">
        <v>0</v>
      </c>
      <c r="M19" s="307">
        <v>0</v>
      </c>
      <c r="N19" s="307">
        <v>0</v>
      </c>
      <c r="O19" s="306">
        <v>0</v>
      </c>
      <c r="P19" s="306"/>
      <c r="Q19" s="307"/>
      <c r="R19" s="306"/>
      <c r="S19" s="306"/>
      <c r="T19" s="308"/>
    </row>
    <row r="20" spans="1:20">
      <c r="A20" s="294"/>
      <c r="B20" s="286" t="s">
        <v>645</v>
      </c>
      <c r="C20" s="306">
        <v>12302</v>
      </c>
      <c r="D20" s="307">
        <v>0</v>
      </c>
      <c r="E20" s="307">
        <v>27842</v>
      </c>
      <c r="F20" s="307">
        <v>2461</v>
      </c>
      <c r="G20" s="307">
        <v>4443</v>
      </c>
      <c r="H20" s="307">
        <v>311</v>
      </c>
      <c r="I20" s="307">
        <v>0</v>
      </c>
      <c r="J20" s="306">
        <v>47359</v>
      </c>
      <c r="K20" s="306">
        <v>0</v>
      </c>
      <c r="L20" s="307">
        <v>0</v>
      </c>
      <c r="M20" s="307">
        <v>0</v>
      </c>
      <c r="N20" s="307">
        <v>0</v>
      </c>
      <c r="O20" s="306">
        <v>0</v>
      </c>
      <c r="P20" s="306">
        <v>0</v>
      </c>
      <c r="Q20" s="307">
        <v>0</v>
      </c>
      <c r="R20" s="306">
        <v>0</v>
      </c>
      <c r="S20" s="306">
        <v>0</v>
      </c>
      <c r="T20" s="308">
        <v>0</v>
      </c>
    </row>
    <row r="21" spans="1:20">
      <c r="A21" s="299"/>
      <c r="B21" s="286" t="s">
        <v>649</v>
      </c>
      <c r="C21" s="306">
        <v>13077</v>
      </c>
      <c r="D21" s="307">
        <v>0</v>
      </c>
      <c r="E21" s="307">
        <v>39821</v>
      </c>
      <c r="F21" s="307">
        <v>3191</v>
      </c>
      <c r="G21" s="307">
        <v>5424</v>
      </c>
      <c r="H21" s="307">
        <v>327</v>
      </c>
      <c r="I21" s="307">
        <v>0</v>
      </c>
      <c r="J21" s="306">
        <v>61840</v>
      </c>
      <c r="K21" s="306">
        <v>0</v>
      </c>
      <c r="L21" s="307">
        <v>0</v>
      </c>
      <c r="M21" s="307">
        <v>0</v>
      </c>
      <c r="N21" s="307">
        <v>0</v>
      </c>
      <c r="O21" s="306">
        <v>0</v>
      </c>
      <c r="P21" s="306">
        <v>0</v>
      </c>
      <c r="Q21" s="307">
        <v>0</v>
      </c>
      <c r="R21" s="306">
        <v>0</v>
      </c>
      <c r="S21" s="306">
        <v>0</v>
      </c>
      <c r="T21" s="308">
        <v>0</v>
      </c>
    </row>
    <row r="22" spans="1:20">
      <c r="A22" s="297" t="s">
        <v>114</v>
      </c>
      <c r="B22" s="29" t="s">
        <v>642</v>
      </c>
      <c r="C22" s="303">
        <v>505108</v>
      </c>
      <c r="D22" s="304"/>
      <c r="E22" s="304"/>
      <c r="F22" s="304">
        <v>96583</v>
      </c>
      <c r="G22" s="304"/>
      <c r="H22" s="304"/>
      <c r="I22" s="304"/>
      <c r="J22" s="303">
        <v>601691</v>
      </c>
      <c r="K22" s="303"/>
      <c r="L22" s="304"/>
      <c r="M22" s="304">
        <v>224367</v>
      </c>
      <c r="N22" s="304">
        <v>64910</v>
      </c>
      <c r="O22" s="303">
        <v>289277</v>
      </c>
      <c r="P22" s="303"/>
      <c r="Q22" s="304"/>
      <c r="R22" s="303"/>
      <c r="S22" s="303"/>
      <c r="T22" s="305"/>
    </row>
    <row r="23" spans="1:20">
      <c r="A23" s="294"/>
      <c r="B23" s="30" t="s">
        <v>646</v>
      </c>
      <c r="C23" s="306">
        <v>513975</v>
      </c>
      <c r="D23" s="307"/>
      <c r="E23" s="307"/>
      <c r="F23" s="307">
        <v>92917</v>
      </c>
      <c r="G23" s="307"/>
      <c r="H23" s="307"/>
      <c r="I23" s="307"/>
      <c r="J23" s="306">
        <v>606892</v>
      </c>
      <c r="K23" s="306"/>
      <c r="L23" s="307"/>
      <c r="M23" s="307">
        <v>254936</v>
      </c>
      <c r="N23" s="307">
        <v>72272</v>
      </c>
      <c r="O23" s="306">
        <v>327208</v>
      </c>
      <c r="P23" s="306"/>
      <c r="Q23" s="307"/>
      <c r="R23" s="306"/>
      <c r="S23" s="306"/>
      <c r="T23" s="308"/>
    </row>
    <row r="24" spans="1:20">
      <c r="A24" s="294"/>
      <c r="B24" s="30" t="s">
        <v>643</v>
      </c>
      <c r="C24" s="306">
        <v>24051</v>
      </c>
      <c r="D24" s="307">
        <v>0</v>
      </c>
      <c r="E24" s="307">
        <v>0</v>
      </c>
      <c r="F24" s="307">
        <v>525</v>
      </c>
      <c r="G24" s="307">
        <v>0</v>
      </c>
      <c r="H24" s="307">
        <v>0</v>
      </c>
      <c r="I24" s="307">
        <v>0</v>
      </c>
      <c r="J24" s="306">
        <v>24576</v>
      </c>
      <c r="K24" s="306">
        <v>0</v>
      </c>
      <c r="L24" s="307">
        <v>0</v>
      </c>
      <c r="M24" s="307">
        <v>25619</v>
      </c>
      <c r="N24" s="307">
        <v>10319</v>
      </c>
      <c r="O24" s="306">
        <v>35938</v>
      </c>
      <c r="P24" s="306">
        <v>0</v>
      </c>
      <c r="Q24" s="307">
        <v>0</v>
      </c>
      <c r="R24" s="306">
        <v>0</v>
      </c>
      <c r="S24" s="306">
        <v>0</v>
      </c>
      <c r="T24" s="308">
        <v>0</v>
      </c>
    </row>
    <row r="25" spans="1:20">
      <c r="A25" s="294"/>
      <c r="B25" s="30" t="s">
        <v>647</v>
      </c>
      <c r="C25" s="306">
        <v>20685</v>
      </c>
      <c r="D25" s="307">
        <v>0</v>
      </c>
      <c r="E25" s="307">
        <v>0</v>
      </c>
      <c r="F25" s="307">
        <v>572</v>
      </c>
      <c r="G25" s="307">
        <v>0</v>
      </c>
      <c r="H25" s="307">
        <v>0</v>
      </c>
      <c r="I25" s="307">
        <v>0</v>
      </c>
      <c r="J25" s="306">
        <v>21257</v>
      </c>
      <c r="K25" s="306">
        <v>0</v>
      </c>
      <c r="L25" s="307">
        <v>0</v>
      </c>
      <c r="M25" s="307">
        <v>31970</v>
      </c>
      <c r="N25" s="307">
        <v>11841</v>
      </c>
      <c r="O25" s="306">
        <v>43811</v>
      </c>
      <c r="P25" s="306">
        <v>0</v>
      </c>
      <c r="Q25" s="307">
        <v>0</v>
      </c>
      <c r="R25" s="306">
        <v>0</v>
      </c>
      <c r="S25" s="306">
        <v>0</v>
      </c>
      <c r="T25" s="308">
        <v>0</v>
      </c>
    </row>
    <row r="26" spans="1:20">
      <c r="A26" s="294"/>
      <c r="B26" s="30" t="s">
        <v>644</v>
      </c>
      <c r="C26" s="306">
        <v>49635</v>
      </c>
      <c r="D26" s="307"/>
      <c r="E26" s="307"/>
      <c r="F26" s="307">
        <v>7075</v>
      </c>
      <c r="G26" s="307"/>
      <c r="H26" s="307"/>
      <c r="I26" s="307"/>
      <c r="J26" s="306">
        <v>56710</v>
      </c>
      <c r="K26" s="306"/>
      <c r="L26" s="307"/>
      <c r="M26" s="307">
        <v>0</v>
      </c>
      <c r="N26" s="307">
        <v>0</v>
      </c>
      <c r="O26" s="306">
        <v>0</v>
      </c>
      <c r="P26" s="306"/>
      <c r="Q26" s="307"/>
      <c r="R26" s="306"/>
      <c r="S26" s="306"/>
      <c r="T26" s="308"/>
    </row>
    <row r="27" spans="1:20">
      <c r="A27" s="294"/>
      <c r="B27" s="30" t="s">
        <v>648</v>
      </c>
      <c r="C27" s="306">
        <v>52334</v>
      </c>
      <c r="D27" s="307"/>
      <c r="E27" s="307"/>
      <c r="F27" s="307">
        <v>6072</v>
      </c>
      <c r="G27" s="307"/>
      <c r="H27" s="307"/>
      <c r="I27" s="307"/>
      <c r="J27" s="306">
        <v>58406</v>
      </c>
      <c r="K27" s="306"/>
      <c r="L27" s="307"/>
      <c r="M27" s="307">
        <v>0</v>
      </c>
      <c r="N27" s="307">
        <v>0</v>
      </c>
      <c r="O27" s="306">
        <v>0</v>
      </c>
      <c r="P27" s="306"/>
      <c r="Q27" s="307"/>
      <c r="R27" s="306"/>
      <c r="S27" s="306"/>
      <c r="T27" s="308"/>
    </row>
    <row r="28" spans="1:20">
      <c r="A28" s="294"/>
      <c r="B28" s="30" t="s">
        <v>645</v>
      </c>
      <c r="C28" s="306">
        <v>3385</v>
      </c>
      <c r="D28" s="307">
        <v>0</v>
      </c>
      <c r="E28" s="307">
        <v>0</v>
      </c>
      <c r="F28" s="307">
        <v>150</v>
      </c>
      <c r="G28" s="307">
        <v>0</v>
      </c>
      <c r="H28" s="307">
        <v>0</v>
      </c>
      <c r="I28" s="307">
        <v>0</v>
      </c>
      <c r="J28" s="306">
        <v>3535</v>
      </c>
      <c r="K28" s="306">
        <v>0</v>
      </c>
      <c r="L28" s="307">
        <v>0</v>
      </c>
      <c r="M28" s="307">
        <v>0</v>
      </c>
      <c r="N28" s="307">
        <v>0</v>
      </c>
      <c r="O28" s="306">
        <v>0</v>
      </c>
      <c r="P28" s="306">
        <v>0</v>
      </c>
      <c r="Q28" s="307">
        <v>0</v>
      </c>
      <c r="R28" s="306">
        <v>0</v>
      </c>
      <c r="S28" s="306">
        <v>0</v>
      </c>
      <c r="T28" s="308">
        <v>0</v>
      </c>
    </row>
    <row r="29" spans="1:20">
      <c r="A29" s="294"/>
      <c r="B29" s="30" t="s">
        <v>649</v>
      </c>
      <c r="C29" s="306">
        <v>2988</v>
      </c>
      <c r="D29" s="307">
        <v>0</v>
      </c>
      <c r="E29" s="307">
        <v>0</v>
      </c>
      <c r="F29" s="307">
        <v>75</v>
      </c>
      <c r="G29" s="307">
        <v>0</v>
      </c>
      <c r="H29" s="307">
        <v>0</v>
      </c>
      <c r="I29" s="307">
        <v>0</v>
      </c>
      <c r="J29" s="306">
        <v>3063</v>
      </c>
      <c r="K29" s="306">
        <v>0</v>
      </c>
      <c r="L29" s="307">
        <v>0</v>
      </c>
      <c r="M29" s="307">
        <v>0</v>
      </c>
      <c r="N29" s="307">
        <v>0</v>
      </c>
      <c r="O29" s="306">
        <v>0</v>
      </c>
      <c r="P29" s="306">
        <v>0</v>
      </c>
      <c r="Q29" s="307">
        <v>0</v>
      </c>
      <c r="R29" s="306">
        <v>0</v>
      </c>
      <c r="S29" s="306">
        <v>0</v>
      </c>
      <c r="T29" s="308">
        <v>0</v>
      </c>
    </row>
    <row r="30" spans="1:20">
      <c r="A30" s="297" t="s">
        <v>115</v>
      </c>
      <c r="B30" s="264" t="s">
        <v>642</v>
      </c>
      <c r="C30" s="303">
        <v>4905170.4000000004</v>
      </c>
      <c r="D30" s="304">
        <v>519541</v>
      </c>
      <c r="E30" s="304">
        <v>888061</v>
      </c>
      <c r="F30" s="304">
        <v>224810</v>
      </c>
      <c r="G30" s="304"/>
      <c r="H30" s="304">
        <v>26948</v>
      </c>
      <c r="I30" s="304"/>
      <c r="J30" s="303">
        <v>6564530.4000000004</v>
      </c>
      <c r="K30" s="303">
        <v>2375383</v>
      </c>
      <c r="L30" s="304">
        <v>5385922</v>
      </c>
      <c r="M30" s="304">
        <v>546671</v>
      </c>
      <c r="N30" s="304">
        <v>46494</v>
      </c>
      <c r="O30" s="303">
        <v>8354470</v>
      </c>
      <c r="P30" s="303"/>
      <c r="Q30" s="304"/>
      <c r="R30" s="303"/>
      <c r="S30" s="303"/>
      <c r="T30" s="305"/>
    </row>
    <row r="31" spans="1:20">
      <c r="A31" s="294"/>
      <c r="B31" s="286" t="s">
        <v>646</v>
      </c>
      <c r="C31" s="306">
        <v>4994770</v>
      </c>
      <c r="D31" s="307">
        <v>539048</v>
      </c>
      <c r="E31" s="307">
        <v>905161</v>
      </c>
      <c r="F31" s="307">
        <v>247828</v>
      </c>
      <c r="G31" s="307"/>
      <c r="H31" s="307">
        <v>27872</v>
      </c>
      <c r="I31" s="307"/>
      <c r="J31" s="306">
        <v>6714679</v>
      </c>
      <c r="K31" s="306">
        <v>2603670</v>
      </c>
      <c r="L31" s="307">
        <v>6057236</v>
      </c>
      <c r="M31" s="307">
        <v>608528</v>
      </c>
      <c r="N31" s="307">
        <v>50548</v>
      </c>
      <c r="O31" s="306">
        <v>9319982</v>
      </c>
      <c r="P31" s="306"/>
      <c r="Q31" s="307"/>
      <c r="R31" s="306"/>
      <c r="S31" s="306"/>
      <c r="T31" s="308"/>
    </row>
    <row r="32" spans="1:20">
      <c r="A32" s="294"/>
      <c r="B32" s="286" t="s">
        <v>643</v>
      </c>
      <c r="C32" s="306">
        <v>806818</v>
      </c>
      <c r="D32" s="307">
        <v>33875</v>
      </c>
      <c r="E32" s="307">
        <v>87887</v>
      </c>
      <c r="F32" s="307">
        <v>37877</v>
      </c>
      <c r="G32" s="307">
        <v>0</v>
      </c>
      <c r="H32" s="307">
        <v>0</v>
      </c>
      <c r="I32" s="307">
        <v>0</v>
      </c>
      <c r="J32" s="306">
        <v>966457</v>
      </c>
      <c r="K32" s="306">
        <v>341220</v>
      </c>
      <c r="L32" s="307">
        <v>860123</v>
      </c>
      <c r="M32" s="307">
        <v>108213</v>
      </c>
      <c r="N32" s="307">
        <v>11581</v>
      </c>
      <c r="O32" s="306">
        <v>1321137</v>
      </c>
      <c r="P32" s="306">
        <v>0</v>
      </c>
      <c r="Q32" s="307">
        <v>0</v>
      </c>
      <c r="R32" s="306">
        <v>0</v>
      </c>
      <c r="S32" s="306">
        <v>0</v>
      </c>
      <c r="T32" s="308">
        <v>0</v>
      </c>
    </row>
    <row r="33" spans="1:20">
      <c r="A33" s="294"/>
      <c r="B33" s="286" t="s">
        <v>647</v>
      </c>
      <c r="C33" s="306">
        <v>946302</v>
      </c>
      <c r="D33" s="307">
        <v>33035</v>
      </c>
      <c r="E33" s="307">
        <v>94745</v>
      </c>
      <c r="F33" s="307">
        <v>43351</v>
      </c>
      <c r="G33" s="307">
        <v>0</v>
      </c>
      <c r="H33" s="307">
        <v>0</v>
      </c>
      <c r="I33" s="307">
        <v>0</v>
      </c>
      <c r="J33" s="306">
        <v>1117433</v>
      </c>
      <c r="K33" s="306">
        <v>451209</v>
      </c>
      <c r="L33" s="307">
        <v>1069558</v>
      </c>
      <c r="M33" s="307">
        <v>129138</v>
      </c>
      <c r="N33" s="307">
        <v>10732</v>
      </c>
      <c r="O33" s="306">
        <v>1660637</v>
      </c>
      <c r="P33" s="306">
        <v>0</v>
      </c>
      <c r="Q33" s="307">
        <v>0</v>
      </c>
      <c r="R33" s="306">
        <v>0</v>
      </c>
      <c r="S33" s="306">
        <v>0</v>
      </c>
      <c r="T33" s="308">
        <v>0</v>
      </c>
    </row>
    <row r="34" spans="1:20">
      <c r="A34" s="294"/>
      <c r="B34" s="286" t="s">
        <v>644</v>
      </c>
      <c r="C34" s="306">
        <v>1040754.7</v>
      </c>
      <c r="D34" s="307">
        <v>76256</v>
      </c>
      <c r="E34" s="307">
        <v>105241</v>
      </c>
      <c r="F34" s="307">
        <v>19540</v>
      </c>
      <c r="G34" s="307"/>
      <c r="H34" s="307">
        <v>0</v>
      </c>
      <c r="I34" s="307"/>
      <c r="J34" s="306">
        <v>1241791.7</v>
      </c>
      <c r="K34" s="306">
        <v>0</v>
      </c>
      <c r="L34" s="307">
        <v>0</v>
      </c>
      <c r="M34" s="307">
        <v>0</v>
      </c>
      <c r="N34" s="307">
        <v>0</v>
      </c>
      <c r="O34" s="306">
        <v>0</v>
      </c>
      <c r="P34" s="306"/>
      <c r="Q34" s="307"/>
      <c r="R34" s="306"/>
      <c r="S34" s="306"/>
      <c r="T34" s="308"/>
    </row>
    <row r="35" spans="1:20">
      <c r="A35" s="294"/>
      <c r="B35" s="286" t="s">
        <v>648</v>
      </c>
      <c r="C35" s="306">
        <v>1013960.3</v>
      </c>
      <c r="D35" s="307">
        <v>78594</v>
      </c>
      <c r="E35" s="307">
        <v>111856</v>
      </c>
      <c r="F35" s="307">
        <v>21548</v>
      </c>
      <c r="G35" s="307"/>
      <c r="H35" s="307">
        <v>0</v>
      </c>
      <c r="I35" s="307"/>
      <c r="J35" s="306">
        <v>1225958.3</v>
      </c>
      <c r="K35" s="306">
        <v>0</v>
      </c>
      <c r="L35" s="307">
        <v>0</v>
      </c>
      <c r="M35" s="307">
        <v>0</v>
      </c>
      <c r="N35" s="307">
        <v>0</v>
      </c>
      <c r="O35" s="306">
        <v>0</v>
      </c>
      <c r="P35" s="306"/>
      <c r="Q35" s="307"/>
      <c r="R35" s="306"/>
      <c r="S35" s="306"/>
      <c r="T35" s="308"/>
    </row>
    <row r="36" spans="1:20">
      <c r="A36" s="294"/>
      <c r="B36" s="286" t="s">
        <v>645</v>
      </c>
      <c r="C36" s="306">
        <v>172488.2</v>
      </c>
      <c r="D36" s="307">
        <v>17629</v>
      </c>
      <c r="E36" s="307">
        <v>17204.5</v>
      </c>
      <c r="F36" s="307">
        <v>7961</v>
      </c>
      <c r="G36" s="307">
        <v>0</v>
      </c>
      <c r="H36" s="307">
        <v>0</v>
      </c>
      <c r="I36" s="307">
        <v>0</v>
      </c>
      <c r="J36" s="306">
        <v>215282.7</v>
      </c>
      <c r="K36" s="306">
        <v>0</v>
      </c>
      <c r="L36" s="307">
        <v>0</v>
      </c>
      <c r="M36" s="307">
        <v>0</v>
      </c>
      <c r="N36" s="307">
        <v>0</v>
      </c>
      <c r="O36" s="306">
        <v>0</v>
      </c>
      <c r="P36" s="306">
        <v>0</v>
      </c>
      <c r="Q36" s="307">
        <v>0</v>
      </c>
      <c r="R36" s="306">
        <v>0</v>
      </c>
      <c r="S36" s="306">
        <v>0</v>
      </c>
      <c r="T36" s="308">
        <v>0</v>
      </c>
    </row>
    <row r="37" spans="1:20">
      <c r="A37" s="299"/>
      <c r="B37" s="286" t="s">
        <v>649</v>
      </c>
      <c r="C37" s="306">
        <v>189534</v>
      </c>
      <c r="D37" s="307">
        <v>19924</v>
      </c>
      <c r="E37" s="307">
        <v>21931</v>
      </c>
      <c r="F37" s="307">
        <v>8647</v>
      </c>
      <c r="G37" s="307">
        <v>0</v>
      </c>
      <c r="H37" s="307">
        <v>0</v>
      </c>
      <c r="I37" s="307">
        <v>0</v>
      </c>
      <c r="J37" s="306">
        <v>240036</v>
      </c>
      <c r="K37" s="306">
        <v>0</v>
      </c>
      <c r="L37" s="307">
        <v>0</v>
      </c>
      <c r="M37" s="307">
        <v>0</v>
      </c>
      <c r="N37" s="307">
        <v>0</v>
      </c>
      <c r="O37" s="306">
        <v>0</v>
      </c>
      <c r="P37" s="306">
        <v>0</v>
      </c>
      <c r="Q37" s="307">
        <v>0</v>
      </c>
      <c r="R37" s="306">
        <v>0</v>
      </c>
      <c r="S37" s="306">
        <v>0</v>
      </c>
      <c r="T37" s="308">
        <v>0</v>
      </c>
    </row>
    <row r="38" spans="1:20">
      <c r="A38" s="297" t="s">
        <v>145</v>
      </c>
      <c r="B38" s="264" t="s">
        <v>642</v>
      </c>
      <c r="C38" s="303"/>
      <c r="D38" s="304"/>
      <c r="E38" s="304"/>
      <c r="F38" s="304"/>
      <c r="G38" s="304"/>
      <c r="H38" s="304"/>
      <c r="I38" s="304"/>
      <c r="J38" s="303"/>
      <c r="K38" s="303"/>
      <c r="L38" s="304"/>
      <c r="M38" s="304"/>
      <c r="N38" s="304"/>
      <c r="O38" s="303"/>
      <c r="P38" s="303">
        <v>3163461.3</v>
      </c>
      <c r="Q38" s="304">
        <v>95524.9</v>
      </c>
      <c r="R38" s="303">
        <v>3258986.1999999997</v>
      </c>
      <c r="S38" s="303"/>
      <c r="T38" s="305"/>
    </row>
    <row r="39" spans="1:20">
      <c r="A39" s="294"/>
      <c r="B39" s="286" t="s">
        <v>646</v>
      </c>
      <c r="C39" s="306"/>
      <c r="D39" s="307"/>
      <c r="E39" s="307"/>
      <c r="F39" s="307"/>
      <c r="G39" s="307"/>
      <c r="H39" s="307"/>
      <c r="I39" s="307"/>
      <c r="J39" s="306"/>
      <c r="K39" s="306"/>
      <c r="L39" s="307"/>
      <c r="M39" s="307"/>
      <c r="N39" s="307"/>
      <c r="O39" s="306"/>
      <c r="P39" s="306">
        <v>3802505.9</v>
      </c>
      <c r="Q39" s="307">
        <v>120325.3</v>
      </c>
      <c r="R39" s="306">
        <v>3922831.1999999997</v>
      </c>
      <c r="S39" s="306"/>
      <c r="T39" s="308"/>
    </row>
    <row r="40" spans="1:20">
      <c r="A40" s="294"/>
      <c r="B40" s="286" t="s">
        <v>643</v>
      </c>
      <c r="C40" s="306">
        <v>0</v>
      </c>
      <c r="D40" s="307">
        <v>0</v>
      </c>
      <c r="E40" s="307">
        <v>0</v>
      </c>
      <c r="F40" s="307">
        <v>0</v>
      </c>
      <c r="G40" s="307">
        <v>0</v>
      </c>
      <c r="H40" s="307">
        <v>0</v>
      </c>
      <c r="I40" s="307">
        <v>0</v>
      </c>
      <c r="J40" s="306">
        <v>0</v>
      </c>
      <c r="K40" s="306">
        <v>0</v>
      </c>
      <c r="L40" s="307">
        <v>0</v>
      </c>
      <c r="M40" s="307">
        <v>0</v>
      </c>
      <c r="N40" s="307">
        <v>0</v>
      </c>
      <c r="O40" s="306">
        <v>0</v>
      </c>
      <c r="P40" s="306">
        <v>837630</v>
      </c>
      <c r="Q40" s="307">
        <v>9802</v>
      </c>
      <c r="R40" s="306">
        <v>847432</v>
      </c>
      <c r="S40" s="306">
        <v>0</v>
      </c>
      <c r="T40" s="308">
        <v>0</v>
      </c>
    </row>
    <row r="41" spans="1:20">
      <c r="A41" s="294"/>
      <c r="B41" s="286" t="s">
        <v>647</v>
      </c>
      <c r="C41" s="306">
        <v>0</v>
      </c>
      <c r="D41" s="307">
        <v>0</v>
      </c>
      <c r="E41" s="307">
        <v>0</v>
      </c>
      <c r="F41" s="307">
        <v>0</v>
      </c>
      <c r="G41" s="307">
        <v>0</v>
      </c>
      <c r="H41" s="307">
        <v>0</v>
      </c>
      <c r="I41" s="307">
        <v>0</v>
      </c>
      <c r="J41" s="306">
        <v>0</v>
      </c>
      <c r="K41" s="306">
        <v>0</v>
      </c>
      <c r="L41" s="307">
        <v>0</v>
      </c>
      <c r="M41" s="307">
        <v>0</v>
      </c>
      <c r="N41" s="307">
        <v>0</v>
      </c>
      <c r="O41" s="306">
        <v>0</v>
      </c>
      <c r="P41" s="306">
        <v>686308</v>
      </c>
      <c r="Q41" s="307">
        <v>9750</v>
      </c>
      <c r="R41" s="306">
        <v>696058</v>
      </c>
      <c r="S41" s="306">
        <v>0</v>
      </c>
      <c r="T41" s="308">
        <v>0</v>
      </c>
    </row>
    <row r="42" spans="1:20">
      <c r="A42" s="294"/>
      <c r="B42" s="286" t="s">
        <v>644</v>
      </c>
      <c r="C42" s="306"/>
      <c r="D42" s="307"/>
      <c r="E42" s="307"/>
      <c r="F42" s="307"/>
      <c r="G42" s="307"/>
      <c r="H42" s="307"/>
      <c r="I42" s="307"/>
      <c r="J42" s="306"/>
      <c r="K42" s="306"/>
      <c r="L42" s="307"/>
      <c r="M42" s="307"/>
      <c r="N42" s="307"/>
      <c r="O42" s="306"/>
      <c r="P42" s="306">
        <v>0</v>
      </c>
      <c r="Q42" s="307">
        <v>0</v>
      </c>
      <c r="R42" s="306">
        <v>0</v>
      </c>
      <c r="S42" s="306"/>
      <c r="T42" s="308"/>
    </row>
    <row r="43" spans="1:20">
      <c r="A43" s="294"/>
      <c r="B43" s="286" t="s">
        <v>648</v>
      </c>
      <c r="C43" s="306"/>
      <c r="D43" s="307"/>
      <c r="E43" s="307"/>
      <c r="F43" s="307"/>
      <c r="G43" s="307"/>
      <c r="H43" s="307"/>
      <c r="I43" s="307"/>
      <c r="J43" s="306"/>
      <c r="K43" s="306"/>
      <c r="L43" s="307"/>
      <c r="M43" s="307"/>
      <c r="N43" s="307"/>
      <c r="O43" s="306"/>
      <c r="P43" s="306">
        <v>0</v>
      </c>
      <c r="Q43" s="307">
        <v>0</v>
      </c>
      <c r="R43" s="306">
        <v>0</v>
      </c>
      <c r="S43" s="306"/>
      <c r="T43" s="308"/>
    </row>
    <row r="44" spans="1:20">
      <c r="A44" s="294"/>
      <c r="B44" s="286" t="s">
        <v>645</v>
      </c>
      <c r="C44" s="306">
        <v>0</v>
      </c>
      <c r="D44" s="307">
        <v>0</v>
      </c>
      <c r="E44" s="307">
        <v>0</v>
      </c>
      <c r="F44" s="307">
        <v>0</v>
      </c>
      <c r="G44" s="307">
        <v>0</v>
      </c>
      <c r="H44" s="307">
        <v>0</v>
      </c>
      <c r="I44" s="307">
        <v>0</v>
      </c>
      <c r="J44" s="306">
        <v>0</v>
      </c>
      <c r="K44" s="306">
        <v>0</v>
      </c>
      <c r="L44" s="307">
        <v>0</v>
      </c>
      <c r="M44" s="307">
        <v>0</v>
      </c>
      <c r="N44" s="307">
        <v>0</v>
      </c>
      <c r="O44" s="306">
        <v>0</v>
      </c>
      <c r="P44" s="306">
        <v>0</v>
      </c>
      <c r="Q44" s="307">
        <v>0</v>
      </c>
      <c r="R44" s="306">
        <v>0</v>
      </c>
      <c r="S44" s="306">
        <v>0</v>
      </c>
      <c r="T44" s="308">
        <v>0</v>
      </c>
    </row>
    <row r="45" spans="1:20">
      <c r="A45" s="299"/>
      <c r="B45" s="286" t="s">
        <v>649</v>
      </c>
      <c r="C45" s="306">
        <v>0</v>
      </c>
      <c r="D45" s="307">
        <v>0</v>
      </c>
      <c r="E45" s="307">
        <v>0</v>
      </c>
      <c r="F45" s="307">
        <v>0</v>
      </c>
      <c r="G45" s="307">
        <v>0</v>
      </c>
      <c r="H45" s="307">
        <v>0</v>
      </c>
      <c r="I45" s="307">
        <v>0</v>
      </c>
      <c r="J45" s="306">
        <v>0</v>
      </c>
      <c r="K45" s="306">
        <v>0</v>
      </c>
      <c r="L45" s="307">
        <v>0</v>
      </c>
      <c r="M45" s="307">
        <v>0</v>
      </c>
      <c r="N45" s="307">
        <v>0</v>
      </c>
      <c r="O45" s="306">
        <v>0</v>
      </c>
      <c r="P45" s="306">
        <v>0</v>
      </c>
      <c r="Q45" s="307">
        <v>0</v>
      </c>
      <c r="R45" s="306">
        <v>0</v>
      </c>
      <c r="S45" s="306">
        <v>0</v>
      </c>
      <c r="T45" s="308">
        <v>0</v>
      </c>
    </row>
    <row r="46" spans="1:20">
      <c r="A46" s="297" t="s">
        <v>172</v>
      </c>
      <c r="B46" s="264" t="s">
        <v>642</v>
      </c>
      <c r="C46" s="303">
        <v>902564</v>
      </c>
      <c r="D46" s="304"/>
      <c r="E46" s="304">
        <v>1030576</v>
      </c>
      <c r="F46" s="304">
        <v>511452</v>
      </c>
      <c r="G46" s="304">
        <v>62327</v>
      </c>
      <c r="H46" s="304"/>
      <c r="I46" s="304"/>
      <c r="J46" s="303">
        <v>2506919</v>
      </c>
      <c r="K46" s="303"/>
      <c r="L46" s="304">
        <v>474840</v>
      </c>
      <c r="M46" s="304">
        <v>721574</v>
      </c>
      <c r="N46" s="304">
        <v>148500</v>
      </c>
      <c r="O46" s="303">
        <v>1344914</v>
      </c>
      <c r="P46" s="303">
        <v>87861</v>
      </c>
      <c r="Q46" s="304"/>
      <c r="R46" s="303">
        <v>87861</v>
      </c>
      <c r="S46" s="303"/>
      <c r="T46" s="305"/>
    </row>
    <row r="47" spans="1:20">
      <c r="A47" s="294"/>
      <c r="B47" s="286" t="s">
        <v>646</v>
      </c>
      <c r="C47" s="306">
        <v>910882</v>
      </c>
      <c r="D47" s="307"/>
      <c r="E47" s="307">
        <v>1047462</v>
      </c>
      <c r="F47" s="307">
        <v>515610</v>
      </c>
      <c r="G47" s="307">
        <v>63153</v>
      </c>
      <c r="H47" s="307"/>
      <c r="I47" s="307"/>
      <c r="J47" s="306">
        <v>2537107</v>
      </c>
      <c r="K47" s="306"/>
      <c r="L47" s="307">
        <v>508819</v>
      </c>
      <c r="M47" s="307">
        <v>815270</v>
      </c>
      <c r="N47" s="307">
        <v>167664</v>
      </c>
      <c r="O47" s="306">
        <v>1491753</v>
      </c>
      <c r="P47" s="306">
        <v>110495</v>
      </c>
      <c r="Q47" s="307"/>
      <c r="R47" s="306">
        <v>110495</v>
      </c>
      <c r="S47" s="306"/>
      <c r="T47" s="308"/>
    </row>
    <row r="48" spans="1:20">
      <c r="A48" s="294"/>
      <c r="B48" s="286" t="s">
        <v>643</v>
      </c>
      <c r="C48" s="306">
        <v>31252</v>
      </c>
      <c r="D48" s="307">
        <v>0</v>
      </c>
      <c r="E48" s="307">
        <v>98197</v>
      </c>
      <c r="F48" s="307">
        <v>48098</v>
      </c>
      <c r="G48" s="307">
        <v>6691</v>
      </c>
      <c r="H48" s="307">
        <v>0</v>
      </c>
      <c r="I48" s="307">
        <v>0</v>
      </c>
      <c r="J48" s="306">
        <v>184238</v>
      </c>
      <c r="K48" s="306">
        <v>0</v>
      </c>
      <c r="L48" s="307">
        <v>85211</v>
      </c>
      <c r="M48" s="307">
        <v>153459</v>
      </c>
      <c r="N48" s="307">
        <v>35443</v>
      </c>
      <c r="O48" s="306">
        <v>274113</v>
      </c>
      <c r="P48" s="306">
        <v>2934</v>
      </c>
      <c r="Q48" s="307">
        <v>0</v>
      </c>
      <c r="R48" s="306">
        <v>2934</v>
      </c>
      <c r="S48" s="306">
        <v>0</v>
      </c>
      <c r="T48" s="308">
        <v>0</v>
      </c>
    </row>
    <row r="49" spans="1:20">
      <c r="A49" s="294"/>
      <c r="B49" s="286" t="s">
        <v>647</v>
      </c>
      <c r="C49" s="306">
        <v>29002</v>
      </c>
      <c r="D49" s="307">
        <v>0</v>
      </c>
      <c r="E49" s="307">
        <v>120840</v>
      </c>
      <c r="F49" s="307">
        <v>62237</v>
      </c>
      <c r="G49" s="307">
        <v>6868</v>
      </c>
      <c r="H49" s="307">
        <v>0</v>
      </c>
      <c r="I49" s="307">
        <v>0</v>
      </c>
      <c r="J49" s="306">
        <v>218947</v>
      </c>
      <c r="K49" s="306">
        <v>0</v>
      </c>
      <c r="L49" s="307">
        <v>103376</v>
      </c>
      <c r="M49" s="307">
        <v>207175</v>
      </c>
      <c r="N49" s="307">
        <v>43259</v>
      </c>
      <c r="O49" s="306">
        <v>353810</v>
      </c>
      <c r="P49" s="306">
        <v>5667</v>
      </c>
      <c r="Q49" s="307">
        <v>0</v>
      </c>
      <c r="R49" s="306">
        <v>5667</v>
      </c>
      <c r="S49" s="306">
        <v>0</v>
      </c>
      <c r="T49" s="308">
        <v>0</v>
      </c>
    </row>
    <row r="50" spans="1:20">
      <c r="A50" s="294"/>
      <c r="B50" s="286" t="s">
        <v>644</v>
      </c>
      <c r="C50" s="306">
        <v>160745</v>
      </c>
      <c r="D50" s="307"/>
      <c r="E50" s="307">
        <v>110572</v>
      </c>
      <c r="F50" s="307">
        <v>60162</v>
      </c>
      <c r="G50" s="307">
        <v>2666</v>
      </c>
      <c r="H50" s="307"/>
      <c r="I50" s="307"/>
      <c r="J50" s="306">
        <v>334145</v>
      </c>
      <c r="K50" s="306"/>
      <c r="L50" s="307">
        <v>0</v>
      </c>
      <c r="M50" s="307">
        <v>0</v>
      </c>
      <c r="N50" s="307">
        <v>0</v>
      </c>
      <c r="O50" s="306">
        <v>0</v>
      </c>
      <c r="P50" s="306">
        <v>0</v>
      </c>
      <c r="Q50" s="307"/>
      <c r="R50" s="306">
        <v>0</v>
      </c>
      <c r="S50" s="306"/>
      <c r="T50" s="308"/>
    </row>
    <row r="51" spans="1:20">
      <c r="A51" s="294"/>
      <c r="B51" s="286" t="s">
        <v>648</v>
      </c>
      <c r="C51" s="306">
        <v>154716</v>
      </c>
      <c r="D51" s="307"/>
      <c r="E51" s="307">
        <v>100774</v>
      </c>
      <c r="F51" s="307">
        <v>55260</v>
      </c>
      <c r="G51" s="307">
        <v>2647</v>
      </c>
      <c r="H51" s="307"/>
      <c r="I51" s="307"/>
      <c r="J51" s="306">
        <v>313397</v>
      </c>
      <c r="K51" s="306"/>
      <c r="L51" s="307">
        <v>0</v>
      </c>
      <c r="M51" s="307">
        <v>0</v>
      </c>
      <c r="N51" s="307">
        <v>0</v>
      </c>
      <c r="O51" s="306">
        <v>0</v>
      </c>
      <c r="P51" s="306">
        <v>0</v>
      </c>
      <c r="Q51" s="307"/>
      <c r="R51" s="306">
        <v>0</v>
      </c>
      <c r="S51" s="306"/>
      <c r="T51" s="308"/>
    </row>
    <row r="52" spans="1:20">
      <c r="A52" s="294"/>
      <c r="B52" s="286" t="s">
        <v>645</v>
      </c>
      <c r="C52" s="306">
        <v>12238</v>
      </c>
      <c r="D52" s="307">
        <v>0</v>
      </c>
      <c r="E52" s="307">
        <v>38666</v>
      </c>
      <c r="F52" s="307">
        <v>20762</v>
      </c>
      <c r="G52" s="307">
        <v>1398</v>
      </c>
      <c r="H52" s="307">
        <v>0</v>
      </c>
      <c r="I52" s="307">
        <v>0</v>
      </c>
      <c r="J52" s="306">
        <v>73064</v>
      </c>
      <c r="K52" s="306">
        <v>0</v>
      </c>
      <c r="L52" s="307">
        <v>0</v>
      </c>
      <c r="M52" s="307">
        <v>0</v>
      </c>
      <c r="N52" s="307">
        <v>0</v>
      </c>
      <c r="O52" s="306">
        <v>0</v>
      </c>
      <c r="P52" s="306">
        <v>0</v>
      </c>
      <c r="Q52" s="307">
        <v>0</v>
      </c>
      <c r="R52" s="306">
        <v>0</v>
      </c>
      <c r="S52" s="306">
        <v>0</v>
      </c>
      <c r="T52" s="308">
        <v>0</v>
      </c>
    </row>
    <row r="53" spans="1:20">
      <c r="A53" s="299"/>
      <c r="B53" s="286" t="s">
        <v>649</v>
      </c>
      <c r="C53" s="306">
        <v>8328</v>
      </c>
      <c r="D53" s="307">
        <v>0</v>
      </c>
      <c r="E53" s="307">
        <v>37449</v>
      </c>
      <c r="F53" s="307">
        <v>19788</v>
      </c>
      <c r="G53" s="307">
        <v>1293</v>
      </c>
      <c r="H53" s="307">
        <v>0</v>
      </c>
      <c r="I53" s="307">
        <v>0</v>
      </c>
      <c r="J53" s="306">
        <v>66858</v>
      </c>
      <c r="K53" s="306">
        <v>0</v>
      </c>
      <c r="L53" s="307">
        <v>0</v>
      </c>
      <c r="M53" s="307">
        <v>0</v>
      </c>
      <c r="N53" s="307">
        <v>0</v>
      </c>
      <c r="O53" s="306">
        <v>0</v>
      </c>
      <c r="P53" s="306">
        <v>0</v>
      </c>
      <c r="Q53" s="307">
        <v>0</v>
      </c>
      <c r="R53" s="306">
        <v>0</v>
      </c>
      <c r="S53" s="306">
        <v>0</v>
      </c>
      <c r="T53" s="308">
        <v>0</v>
      </c>
    </row>
    <row r="54" spans="1:20">
      <c r="A54" s="297" t="s">
        <v>197</v>
      </c>
      <c r="B54" s="29" t="s">
        <v>642</v>
      </c>
      <c r="C54" s="303"/>
      <c r="D54" s="304"/>
      <c r="E54" s="304"/>
      <c r="F54" s="304"/>
      <c r="G54" s="304"/>
      <c r="H54" s="304"/>
      <c r="I54" s="304"/>
      <c r="J54" s="303"/>
      <c r="K54" s="303"/>
      <c r="L54" s="304"/>
      <c r="M54" s="304"/>
      <c r="N54" s="304"/>
      <c r="O54" s="303"/>
      <c r="P54" s="303"/>
      <c r="Q54" s="304"/>
      <c r="R54" s="303"/>
      <c r="S54" s="303"/>
      <c r="T54" s="305"/>
    </row>
    <row r="55" spans="1:20">
      <c r="A55" s="294"/>
      <c r="B55" s="30" t="s">
        <v>646</v>
      </c>
      <c r="C55" s="306"/>
      <c r="D55" s="307"/>
      <c r="E55" s="307"/>
      <c r="F55" s="307"/>
      <c r="G55" s="307"/>
      <c r="H55" s="307"/>
      <c r="I55" s="307"/>
      <c r="J55" s="306"/>
      <c r="K55" s="306"/>
      <c r="L55" s="307"/>
      <c r="M55" s="307"/>
      <c r="N55" s="307"/>
      <c r="O55" s="306"/>
      <c r="P55" s="306"/>
      <c r="Q55" s="307"/>
      <c r="R55" s="306"/>
      <c r="S55" s="306"/>
      <c r="T55" s="308"/>
    </row>
    <row r="56" spans="1:20">
      <c r="A56" s="294"/>
      <c r="B56" s="30" t="s">
        <v>643</v>
      </c>
      <c r="C56" s="306">
        <v>0</v>
      </c>
      <c r="D56" s="307">
        <v>0</v>
      </c>
      <c r="E56" s="307">
        <v>0</v>
      </c>
      <c r="F56" s="307">
        <v>0</v>
      </c>
      <c r="G56" s="307">
        <v>0</v>
      </c>
      <c r="H56" s="307">
        <v>0</v>
      </c>
      <c r="I56" s="307">
        <v>0</v>
      </c>
      <c r="J56" s="306">
        <v>0</v>
      </c>
      <c r="K56" s="306">
        <v>0</v>
      </c>
      <c r="L56" s="307">
        <v>0</v>
      </c>
      <c r="M56" s="307">
        <v>0</v>
      </c>
      <c r="N56" s="307">
        <v>0</v>
      </c>
      <c r="O56" s="306">
        <v>0</v>
      </c>
      <c r="P56" s="306">
        <v>0</v>
      </c>
      <c r="Q56" s="307">
        <v>0</v>
      </c>
      <c r="R56" s="306">
        <v>0</v>
      </c>
      <c r="S56" s="306">
        <v>0</v>
      </c>
      <c r="T56" s="308">
        <v>0</v>
      </c>
    </row>
    <row r="57" spans="1:20">
      <c r="A57" s="294"/>
      <c r="B57" s="30" t="s">
        <v>647</v>
      </c>
      <c r="C57" s="306">
        <v>0</v>
      </c>
      <c r="D57" s="307">
        <v>0</v>
      </c>
      <c r="E57" s="307">
        <v>0</v>
      </c>
      <c r="F57" s="307">
        <v>0</v>
      </c>
      <c r="G57" s="307">
        <v>0</v>
      </c>
      <c r="H57" s="307">
        <v>0</v>
      </c>
      <c r="I57" s="307">
        <v>0</v>
      </c>
      <c r="J57" s="306">
        <v>0</v>
      </c>
      <c r="K57" s="306">
        <v>0</v>
      </c>
      <c r="L57" s="307">
        <v>0</v>
      </c>
      <c r="M57" s="307">
        <v>0</v>
      </c>
      <c r="N57" s="307">
        <v>0</v>
      </c>
      <c r="O57" s="306">
        <v>0</v>
      </c>
      <c r="P57" s="306">
        <v>0</v>
      </c>
      <c r="Q57" s="307">
        <v>0</v>
      </c>
      <c r="R57" s="306">
        <v>0</v>
      </c>
      <c r="S57" s="306">
        <v>0</v>
      </c>
      <c r="T57" s="308">
        <v>0</v>
      </c>
    </row>
    <row r="58" spans="1:20">
      <c r="A58" s="294"/>
      <c r="B58" s="30" t="s">
        <v>644</v>
      </c>
      <c r="C58" s="306">
        <v>0</v>
      </c>
      <c r="D58" s="307"/>
      <c r="E58" s="307"/>
      <c r="F58" s="307"/>
      <c r="G58" s="307"/>
      <c r="H58" s="307"/>
      <c r="I58" s="307"/>
      <c r="J58" s="306">
        <v>0</v>
      </c>
      <c r="K58" s="306"/>
      <c r="L58" s="307"/>
      <c r="M58" s="307"/>
      <c r="N58" s="307"/>
      <c r="O58" s="306"/>
      <c r="P58" s="306"/>
      <c r="Q58" s="307"/>
      <c r="R58" s="306"/>
      <c r="S58" s="306"/>
      <c r="T58" s="308"/>
    </row>
    <row r="59" spans="1:20">
      <c r="A59" s="294"/>
      <c r="B59" s="30" t="s">
        <v>648</v>
      </c>
      <c r="C59" s="306">
        <v>0</v>
      </c>
      <c r="D59" s="307"/>
      <c r="E59" s="307"/>
      <c r="F59" s="307"/>
      <c r="G59" s="307"/>
      <c r="H59" s="307"/>
      <c r="I59" s="307"/>
      <c r="J59" s="306">
        <v>0</v>
      </c>
      <c r="K59" s="306"/>
      <c r="L59" s="307"/>
      <c r="M59" s="307"/>
      <c r="N59" s="307"/>
      <c r="O59" s="306"/>
      <c r="P59" s="306"/>
      <c r="Q59" s="307"/>
      <c r="R59" s="306"/>
      <c r="S59" s="306"/>
      <c r="T59" s="308"/>
    </row>
    <row r="60" spans="1:20">
      <c r="A60" s="294"/>
      <c r="B60" s="30" t="s">
        <v>645</v>
      </c>
      <c r="C60" s="306">
        <v>0</v>
      </c>
      <c r="D60" s="307">
        <v>0</v>
      </c>
      <c r="E60" s="307">
        <v>0</v>
      </c>
      <c r="F60" s="307">
        <v>0</v>
      </c>
      <c r="G60" s="307">
        <v>0</v>
      </c>
      <c r="H60" s="307">
        <v>0</v>
      </c>
      <c r="I60" s="307">
        <v>0</v>
      </c>
      <c r="J60" s="306">
        <v>0</v>
      </c>
      <c r="K60" s="306">
        <v>0</v>
      </c>
      <c r="L60" s="307">
        <v>0</v>
      </c>
      <c r="M60" s="307">
        <v>0</v>
      </c>
      <c r="N60" s="307">
        <v>0</v>
      </c>
      <c r="O60" s="306">
        <v>0</v>
      </c>
      <c r="P60" s="306">
        <v>0</v>
      </c>
      <c r="Q60" s="307">
        <v>0</v>
      </c>
      <c r="R60" s="306">
        <v>0</v>
      </c>
      <c r="S60" s="306">
        <v>0</v>
      </c>
      <c r="T60" s="308">
        <v>0</v>
      </c>
    </row>
    <row r="61" spans="1:20">
      <c r="A61" s="294"/>
      <c r="B61" s="30" t="s">
        <v>649</v>
      </c>
      <c r="C61" s="306">
        <v>0</v>
      </c>
      <c r="D61" s="307">
        <v>0</v>
      </c>
      <c r="E61" s="307">
        <v>0</v>
      </c>
      <c r="F61" s="307">
        <v>0</v>
      </c>
      <c r="G61" s="307">
        <v>0</v>
      </c>
      <c r="H61" s="307">
        <v>0</v>
      </c>
      <c r="I61" s="307">
        <v>0</v>
      </c>
      <c r="J61" s="306">
        <v>0</v>
      </c>
      <c r="K61" s="306">
        <v>0</v>
      </c>
      <c r="L61" s="307">
        <v>0</v>
      </c>
      <c r="M61" s="307">
        <v>0</v>
      </c>
      <c r="N61" s="307">
        <v>0</v>
      </c>
      <c r="O61" s="306">
        <v>0</v>
      </c>
      <c r="P61" s="306">
        <v>0</v>
      </c>
      <c r="Q61" s="307">
        <v>0</v>
      </c>
      <c r="R61" s="306">
        <v>0</v>
      </c>
      <c r="S61" s="306">
        <v>0</v>
      </c>
      <c r="T61" s="308">
        <v>0</v>
      </c>
    </row>
    <row r="62" spans="1:20">
      <c r="A62" s="297" t="s">
        <v>198</v>
      </c>
      <c r="B62" s="264" t="s">
        <v>642</v>
      </c>
      <c r="C62" s="303">
        <v>779086.5</v>
      </c>
      <c r="D62" s="304">
        <v>252345</v>
      </c>
      <c r="E62" s="304">
        <v>639792.5</v>
      </c>
      <c r="F62" s="304">
        <v>705081</v>
      </c>
      <c r="G62" s="304"/>
      <c r="H62" s="304">
        <v>61934</v>
      </c>
      <c r="I62" s="304">
        <v>351195</v>
      </c>
      <c r="J62" s="303">
        <v>2789434</v>
      </c>
      <c r="K62" s="303"/>
      <c r="L62" s="304">
        <v>1428000.19</v>
      </c>
      <c r="M62" s="304">
        <v>874478</v>
      </c>
      <c r="N62" s="304">
        <v>233257</v>
      </c>
      <c r="O62" s="303">
        <v>2535735.19</v>
      </c>
      <c r="P62" s="303"/>
      <c r="Q62" s="304"/>
      <c r="R62" s="303"/>
      <c r="S62" s="303"/>
      <c r="T62" s="305"/>
    </row>
    <row r="63" spans="1:20">
      <c r="A63" s="294"/>
      <c r="B63" s="286" t="s">
        <v>646</v>
      </c>
      <c r="C63" s="306">
        <v>791533.5</v>
      </c>
      <c r="D63" s="307">
        <v>269872</v>
      </c>
      <c r="E63" s="307">
        <v>665534.5</v>
      </c>
      <c r="F63" s="307">
        <v>736972</v>
      </c>
      <c r="G63" s="307"/>
      <c r="H63" s="307">
        <v>61956</v>
      </c>
      <c r="I63" s="307">
        <v>384318</v>
      </c>
      <c r="J63" s="306">
        <v>2910186</v>
      </c>
      <c r="K63" s="306"/>
      <c r="L63" s="307">
        <v>1595740</v>
      </c>
      <c r="M63" s="307">
        <v>821397</v>
      </c>
      <c r="N63" s="307">
        <v>253167.05</v>
      </c>
      <c r="O63" s="306">
        <v>2670304.0499999998</v>
      </c>
      <c r="P63" s="306"/>
      <c r="Q63" s="307"/>
      <c r="R63" s="306"/>
      <c r="S63" s="306"/>
      <c r="T63" s="308"/>
    </row>
    <row r="64" spans="1:20">
      <c r="A64" s="294"/>
      <c r="B64" s="286" t="s">
        <v>643</v>
      </c>
      <c r="C64" s="306">
        <v>4426</v>
      </c>
      <c r="D64" s="307">
        <v>938</v>
      </c>
      <c r="E64" s="307">
        <v>12519</v>
      </c>
      <c r="F64" s="307">
        <v>41190</v>
      </c>
      <c r="G64" s="307">
        <v>0</v>
      </c>
      <c r="H64" s="307">
        <v>0</v>
      </c>
      <c r="I64" s="307">
        <v>293250</v>
      </c>
      <c r="J64" s="306">
        <v>352323</v>
      </c>
      <c r="K64" s="306">
        <v>0</v>
      </c>
      <c r="L64" s="307">
        <v>140958.53</v>
      </c>
      <c r="M64" s="307">
        <v>116792</v>
      </c>
      <c r="N64" s="307">
        <v>26099</v>
      </c>
      <c r="O64" s="306">
        <v>283849.53000000003</v>
      </c>
      <c r="P64" s="306">
        <v>0</v>
      </c>
      <c r="Q64" s="307">
        <v>0</v>
      </c>
      <c r="R64" s="306">
        <v>0</v>
      </c>
      <c r="S64" s="306">
        <v>0</v>
      </c>
      <c r="T64" s="308">
        <v>0</v>
      </c>
    </row>
    <row r="65" spans="1:20">
      <c r="A65" s="294"/>
      <c r="B65" s="286" t="s">
        <v>647</v>
      </c>
      <c r="C65" s="306">
        <v>7163</v>
      </c>
      <c r="D65" s="307">
        <v>12436</v>
      </c>
      <c r="E65" s="307">
        <v>18028</v>
      </c>
      <c r="F65" s="307">
        <v>52201</v>
      </c>
      <c r="G65" s="307">
        <v>0</v>
      </c>
      <c r="H65" s="307">
        <v>0</v>
      </c>
      <c r="I65" s="307">
        <v>328772</v>
      </c>
      <c r="J65" s="306">
        <v>418600</v>
      </c>
      <c r="K65" s="306">
        <v>0</v>
      </c>
      <c r="L65" s="307">
        <v>179369</v>
      </c>
      <c r="M65" s="307">
        <v>127195.5</v>
      </c>
      <c r="N65" s="307">
        <v>29157</v>
      </c>
      <c r="O65" s="306">
        <v>335721.5</v>
      </c>
      <c r="P65" s="306">
        <v>0</v>
      </c>
      <c r="Q65" s="307">
        <v>0</v>
      </c>
      <c r="R65" s="306">
        <v>0</v>
      </c>
      <c r="S65" s="306">
        <v>0</v>
      </c>
      <c r="T65" s="308">
        <v>0</v>
      </c>
    </row>
    <row r="66" spans="1:20">
      <c r="A66" s="294"/>
      <c r="B66" s="286" t="s">
        <v>644</v>
      </c>
      <c r="C66" s="306">
        <v>148639.25</v>
      </c>
      <c r="D66" s="307">
        <v>25309</v>
      </c>
      <c r="E66" s="307">
        <v>66190</v>
      </c>
      <c r="F66" s="307">
        <v>110476</v>
      </c>
      <c r="G66" s="307"/>
      <c r="H66" s="307">
        <v>1282</v>
      </c>
      <c r="I66" s="307">
        <v>109857</v>
      </c>
      <c r="J66" s="306">
        <v>461753.25</v>
      </c>
      <c r="K66" s="306"/>
      <c r="L66" s="307">
        <v>0</v>
      </c>
      <c r="M66" s="307">
        <v>0</v>
      </c>
      <c r="N66" s="307">
        <v>0</v>
      </c>
      <c r="O66" s="306">
        <v>0</v>
      </c>
      <c r="P66" s="306"/>
      <c r="Q66" s="307"/>
      <c r="R66" s="306"/>
      <c r="S66" s="306"/>
      <c r="T66" s="308"/>
    </row>
    <row r="67" spans="1:20">
      <c r="A67" s="294"/>
      <c r="B67" s="286" t="s">
        <v>648</v>
      </c>
      <c r="C67" s="306">
        <v>154875</v>
      </c>
      <c r="D67" s="307">
        <v>31112</v>
      </c>
      <c r="E67" s="307">
        <v>70318</v>
      </c>
      <c r="F67" s="307">
        <v>112464</v>
      </c>
      <c r="G67" s="307"/>
      <c r="H67" s="307">
        <v>1900</v>
      </c>
      <c r="I67" s="307">
        <v>159416</v>
      </c>
      <c r="J67" s="306">
        <v>530085</v>
      </c>
      <c r="K67" s="306"/>
      <c r="L67" s="307">
        <v>0</v>
      </c>
      <c r="M67" s="307">
        <v>0</v>
      </c>
      <c r="N67" s="307">
        <v>0</v>
      </c>
      <c r="O67" s="306">
        <v>0</v>
      </c>
      <c r="P67" s="306"/>
      <c r="Q67" s="307"/>
      <c r="R67" s="306"/>
      <c r="S67" s="306"/>
      <c r="T67" s="308"/>
    </row>
    <row r="68" spans="1:20">
      <c r="A68" s="294"/>
      <c r="B68" s="286" t="s">
        <v>645</v>
      </c>
      <c r="C68" s="306">
        <v>3829</v>
      </c>
      <c r="D68" s="307">
        <v>3483</v>
      </c>
      <c r="E68" s="307">
        <v>3651</v>
      </c>
      <c r="F68" s="307">
        <v>12622</v>
      </c>
      <c r="G68" s="307">
        <v>0</v>
      </c>
      <c r="H68" s="307">
        <v>0</v>
      </c>
      <c r="I68" s="307">
        <v>103308</v>
      </c>
      <c r="J68" s="306">
        <v>126893</v>
      </c>
      <c r="K68" s="306">
        <v>0</v>
      </c>
      <c r="L68" s="307">
        <v>0</v>
      </c>
      <c r="M68" s="307">
        <v>0</v>
      </c>
      <c r="N68" s="307">
        <v>0</v>
      </c>
      <c r="O68" s="306">
        <v>0</v>
      </c>
      <c r="P68" s="306">
        <v>0</v>
      </c>
      <c r="Q68" s="307">
        <v>0</v>
      </c>
      <c r="R68" s="306">
        <v>0</v>
      </c>
      <c r="S68" s="306">
        <v>0</v>
      </c>
      <c r="T68" s="308">
        <v>0</v>
      </c>
    </row>
    <row r="69" spans="1:20">
      <c r="A69" s="299"/>
      <c r="B69" s="286" t="s">
        <v>649</v>
      </c>
      <c r="C69" s="306">
        <v>5827</v>
      </c>
      <c r="D69" s="307">
        <v>5429</v>
      </c>
      <c r="E69" s="307">
        <v>4693</v>
      </c>
      <c r="F69" s="307">
        <v>15138</v>
      </c>
      <c r="G69" s="307">
        <v>0</v>
      </c>
      <c r="H69" s="307">
        <v>0</v>
      </c>
      <c r="I69" s="307">
        <v>154415</v>
      </c>
      <c r="J69" s="306">
        <v>185502</v>
      </c>
      <c r="K69" s="306">
        <v>0</v>
      </c>
      <c r="L69" s="307">
        <v>0</v>
      </c>
      <c r="M69" s="307">
        <v>0</v>
      </c>
      <c r="N69" s="307">
        <v>0</v>
      </c>
      <c r="O69" s="306">
        <v>0</v>
      </c>
      <c r="P69" s="306">
        <v>0</v>
      </c>
      <c r="Q69" s="307">
        <v>0</v>
      </c>
      <c r="R69" s="306">
        <v>0</v>
      </c>
      <c r="S69" s="306">
        <v>0</v>
      </c>
      <c r="T69" s="308">
        <v>0</v>
      </c>
    </row>
    <row r="70" spans="1:20">
      <c r="A70" s="297" t="s">
        <v>227</v>
      </c>
      <c r="B70" s="264" t="s">
        <v>642</v>
      </c>
      <c r="C70" s="303">
        <v>696195</v>
      </c>
      <c r="D70" s="304">
        <v>525101</v>
      </c>
      <c r="E70" s="304"/>
      <c r="F70" s="304">
        <v>230171</v>
      </c>
      <c r="G70" s="304">
        <v>55506</v>
      </c>
      <c r="H70" s="304"/>
      <c r="I70" s="304"/>
      <c r="J70" s="303">
        <v>1506973</v>
      </c>
      <c r="K70" s="303"/>
      <c r="L70" s="304">
        <v>640284</v>
      </c>
      <c r="M70" s="304">
        <v>1024168</v>
      </c>
      <c r="N70" s="304">
        <v>93298</v>
      </c>
      <c r="O70" s="303">
        <v>1757750</v>
      </c>
      <c r="P70" s="303"/>
      <c r="Q70" s="304"/>
      <c r="R70" s="303"/>
      <c r="S70" s="303"/>
      <c r="T70" s="305"/>
    </row>
    <row r="71" spans="1:20">
      <c r="A71" s="294"/>
      <c r="B71" s="286" t="s">
        <v>646</v>
      </c>
      <c r="C71" s="306">
        <v>740711</v>
      </c>
      <c r="D71" s="307">
        <v>533640</v>
      </c>
      <c r="E71" s="307"/>
      <c r="F71" s="307">
        <v>225683</v>
      </c>
      <c r="G71" s="307">
        <v>57804</v>
      </c>
      <c r="H71" s="307"/>
      <c r="I71" s="307"/>
      <c r="J71" s="306">
        <v>1557838</v>
      </c>
      <c r="K71" s="306"/>
      <c r="L71" s="307">
        <v>712517</v>
      </c>
      <c r="M71" s="307">
        <v>1131458</v>
      </c>
      <c r="N71" s="307">
        <v>108080</v>
      </c>
      <c r="O71" s="306">
        <v>1952055</v>
      </c>
      <c r="P71" s="306"/>
      <c r="Q71" s="307"/>
      <c r="R71" s="306"/>
      <c r="S71" s="306"/>
      <c r="T71" s="308"/>
    </row>
    <row r="72" spans="1:20">
      <c r="A72" s="294"/>
      <c r="B72" s="286" t="s">
        <v>643</v>
      </c>
      <c r="C72" s="306">
        <v>42263</v>
      </c>
      <c r="D72" s="307">
        <v>20636</v>
      </c>
      <c r="E72" s="307">
        <v>0</v>
      </c>
      <c r="F72" s="307">
        <v>15216</v>
      </c>
      <c r="G72" s="307">
        <v>5500</v>
      </c>
      <c r="H72" s="307">
        <v>0</v>
      </c>
      <c r="I72" s="307">
        <v>0</v>
      </c>
      <c r="J72" s="306">
        <v>83615</v>
      </c>
      <c r="K72" s="306">
        <v>0</v>
      </c>
      <c r="L72" s="307">
        <v>83640</v>
      </c>
      <c r="M72" s="307">
        <v>158885</v>
      </c>
      <c r="N72" s="307">
        <v>7797</v>
      </c>
      <c r="O72" s="306">
        <v>250322</v>
      </c>
      <c r="P72" s="306">
        <v>0</v>
      </c>
      <c r="Q72" s="307">
        <v>0</v>
      </c>
      <c r="R72" s="306">
        <v>0</v>
      </c>
      <c r="S72" s="306">
        <v>0</v>
      </c>
      <c r="T72" s="308">
        <v>0</v>
      </c>
    </row>
    <row r="73" spans="1:20">
      <c r="A73" s="294"/>
      <c r="B73" s="286" t="s">
        <v>647</v>
      </c>
      <c r="C73" s="306">
        <v>47630</v>
      </c>
      <c r="D73" s="307">
        <v>21318</v>
      </c>
      <c r="E73" s="307">
        <v>0</v>
      </c>
      <c r="F73" s="307">
        <v>25285</v>
      </c>
      <c r="G73" s="307">
        <v>11614</v>
      </c>
      <c r="H73" s="307">
        <v>0</v>
      </c>
      <c r="I73" s="307">
        <v>0</v>
      </c>
      <c r="J73" s="306">
        <v>105847</v>
      </c>
      <c r="K73" s="306">
        <v>0</v>
      </c>
      <c r="L73" s="307">
        <v>96139</v>
      </c>
      <c r="M73" s="307">
        <v>185834</v>
      </c>
      <c r="N73" s="307">
        <v>8841</v>
      </c>
      <c r="O73" s="306">
        <v>290814</v>
      </c>
      <c r="P73" s="306">
        <v>0</v>
      </c>
      <c r="Q73" s="307">
        <v>0</v>
      </c>
      <c r="R73" s="306">
        <v>0</v>
      </c>
      <c r="S73" s="306">
        <v>0</v>
      </c>
      <c r="T73" s="308">
        <v>0</v>
      </c>
    </row>
    <row r="74" spans="1:20">
      <c r="A74" s="294"/>
      <c r="B74" s="286" t="s">
        <v>644</v>
      </c>
      <c r="C74" s="306">
        <v>116948</v>
      </c>
      <c r="D74" s="307">
        <v>83053</v>
      </c>
      <c r="E74" s="307"/>
      <c r="F74" s="307">
        <v>30853</v>
      </c>
      <c r="G74" s="307">
        <v>3095</v>
      </c>
      <c r="H74" s="307"/>
      <c r="I74" s="307"/>
      <c r="J74" s="306">
        <v>233949</v>
      </c>
      <c r="K74" s="306"/>
      <c r="L74" s="307">
        <v>0</v>
      </c>
      <c r="M74" s="307">
        <v>0</v>
      </c>
      <c r="N74" s="307">
        <v>0</v>
      </c>
      <c r="O74" s="306">
        <v>0</v>
      </c>
      <c r="P74" s="306"/>
      <c r="Q74" s="307"/>
      <c r="R74" s="306"/>
      <c r="S74" s="306"/>
      <c r="T74" s="308"/>
    </row>
    <row r="75" spans="1:20">
      <c r="A75" s="294"/>
      <c r="B75" s="286" t="s">
        <v>648</v>
      </c>
      <c r="C75" s="306">
        <v>121801</v>
      </c>
      <c r="D75" s="307">
        <v>83666</v>
      </c>
      <c r="E75" s="307"/>
      <c r="F75" s="307">
        <v>30749</v>
      </c>
      <c r="G75" s="307">
        <v>4413</v>
      </c>
      <c r="H75" s="307"/>
      <c r="I75" s="307"/>
      <c r="J75" s="306">
        <v>240629</v>
      </c>
      <c r="K75" s="306"/>
      <c r="L75" s="307">
        <v>0</v>
      </c>
      <c r="M75" s="307">
        <v>0</v>
      </c>
      <c r="N75" s="307">
        <v>0</v>
      </c>
      <c r="O75" s="306">
        <v>0</v>
      </c>
      <c r="P75" s="306"/>
      <c r="Q75" s="307"/>
      <c r="R75" s="306"/>
      <c r="S75" s="306"/>
      <c r="T75" s="308"/>
    </row>
    <row r="76" spans="1:20">
      <c r="A76" s="294"/>
      <c r="B76" s="286" t="s">
        <v>645</v>
      </c>
      <c r="C76" s="306">
        <v>20741</v>
      </c>
      <c r="D76" s="307">
        <v>3144</v>
      </c>
      <c r="E76" s="307">
        <v>0</v>
      </c>
      <c r="F76" s="307">
        <v>7128</v>
      </c>
      <c r="G76" s="307">
        <v>819</v>
      </c>
      <c r="H76" s="307">
        <v>0</v>
      </c>
      <c r="I76" s="307">
        <v>0</v>
      </c>
      <c r="J76" s="306">
        <v>31832</v>
      </c>
      <c r="K76" s="306">
        <v>0</v>
      </c>
      <c r="L76" s="307">
        <v>0</v>
      </c>
      <c r="M76" s="307">
        <v>0</v>
      </c>
      <c r="N76" s="307">
        <v>0</v>
      </c>
      <c r="O76" s="306">
        <v>0</v>
      </c>
      <c r="P76" s="306">
        <v>0</v>
      </c>
      <c r="Q76" s="307">
        <v>0</v>
      </c>
      <c r="R76" s="306">
        <v>0</v>
      </c>
      <c r="S76" s="306">
        <v>0</v>
      </c>
      <c r="T76" s="308">
        <v>0</v>
      </c>
    </row>
    <row r="77" spans="1:20">
      <c r="A77" s="299"/>
      <c r="B77" s="286" t="s">
        <v>649</v>
      </c>
      <c r="C77" s="306">
        <v>24277</v>
      </c>
      <c r="D77" s="307">
        <v>3679</v>
      </c>
      <c r="E77" s="307">
        <v>0</v>
      </c>
      <c r="F77" s="307">
        <v>11082</v>
      </c>
      <c r="G77" s="307">
        <v>1221</v>
      </c>
      <c r="H77" s="307">
        <v>0</v>
      </c>
      <c r="I77" s="307">
        <v>0</v>
      </c>
      <c r="J77" s="306">
        <v>40259</v>
      </c>
      <c r="K77" s="306">
        <v>0</v>
      </c>
      <c r="L77" s="307">
        <v>0</v>
      </c>
      <c r="M77" s="307">
        <v>0</v>
      </c>
      <c r="N77" s="307">
        <v>0</v>
      </c>
      <c r="O77" s="306">
        <v>0</v>
      </c>
      <c r="P77" s="306">
        <v>0</v>
      </c>
      <c r="Q77" s="307">
        <v>0</v>
      </c>
      <c r="R77" s="306">
        <v>0</v>
      </c>
      <c r="S77" s="306">
        <v>0</v>
      </c>
      <c r="T77" s="308">
        <v>0</v>
      </c>
    </row>
    <row r="78" spans="1:20">
      <c r="A78" s="297" t="s">
        <v>251</v>
      </c>
      <c r="B78" s="264" t="s">
        <v>642</v>
      </c>
      <c r="C78" s="303">
        <v>1191348</v>
      </c>
      <c r="D78" s="304">
        <v>891523</v>
      </c>
      <c r="E78" s="304">
        <v>1967477</v>
      </c>
      <c r="F78" s="304">
        <v>167410</v>
      </c>
      <c r="G78" s="304">
        <v>314725</v>
      </c>
      <c r="H78" s="304">
        <v>182142</v>
      </c>
      <c r="I78" s="304"/>
      <c r="J78" s="303">
        <v>4714625</v>
      </c>
      <c r="K78" s="303"/>
      <c r="L78" s="304">
        <v>3162660</v>
      </c>
      <c r="M78" s="304">
        <v>3233940</v>
      </c>
      <c r="N78" s="304">
        <v>555510</v>
      </c>
      <c r="O78" s="303">
        <v>6952110</v>
      </c>
      <c r="P78" s="303"/>
      <c r="Q78" s="304"/>
      <c r="R78" s="303"/>
      <c r="S78" s="303"/>
      <c r="T78" s="305"/>
    </row>
    <row r="79" spans="1:20">
      <c r="A79" s="294"/>
      <c r="B79" s="286" t="s">
        <v>646</v>
      </c>
      <c r="C79" s="306">
        <v>1225712</v>
      </c>
      <c r="D79" s="307">
        <v>938293</v>
      </c>
      <c r="E79" s="307">
        <v>2010485</v>
      </c>
      <c r="F79" s="307">
        <v>155114</v>
      </c>
      <c r="G79" s="307">
        <v>334724</v>
      </c>
      <c r="H79" s="307">
        <v>193937</v>
      </c>
      <c r="I79" s="307"/>
      <c r="J79" s="306">
        <v>4858265</v>
      </c>
      <c r="K79" s="306"/>
      <c r="L79" s="307">
        <v>3530700</v>
      </c>
      <c r="M79" s="307">
        <v>3639330</v>
      </c>
      <c r="N79" s="307">
        <v>625980</v>
      </c>
      <c r="O79" s="306">
        <v>7796010</v>
      </c>
      <c r="P79" s="306"/>
      <c r="Q79" s="307"/>
      <c r="R79" s="306"/>
      <c r="S79" s="306"/>
      <c r="T79" s="308"/>
    </row>
    <row r="80" spans="1:20">
      <c r="A80" s="294"/>
      <c r="B80" s="286" t="s">
        <v>643</v>
      </c>
      <c r="C80" s="306">
        <v>57481</v>
      </c>
      <c r="D80" s="307">
        <v>44851</v>
      </c>
      <c r="E80" s="307">
        <v>133051</v>
      </c>
      <c r="F80" s="307">
        <v>16706</v>
      </c>
      <c r="G80" s="307">
        <v>35241</v>
      </c>
      <c r="H80" s="307">
        <v>3310</v>
      </c>
      <c r="I80" s="307">
        <v>0</v>
      </c>
      <c r="J80" s="306">
        <v>290640</v>
      </c>
      <c r="K80" s="306">
        <v>0</v>
      </c>
      <c r="L80" s="307">
        <v>535012.19999999995</v>
      </c>
      <c r="M80" s="307">
        <v>617967.6</v>
      </c>
      <c r="N80" s="307">
        <v>95168.700000000012</v>
      </c>
      <c r="O80" s="306">
        <v>1248148.5</v>
      </c>
      <c r="P80" s="306">
        <v>0</v>
      </c>
      <c r="Q80" s="307">
        <v>0</v>
      </c>
      <c r="R80" s="306">
        <v>0</v>
      </c>
      <c r="S80" s="306">
        <v>0</v>
      </c>
      <c r="T80" s="308">
        <v>0</v>
      </c>
    </row>
    <row r="81" spans="1:20">
      <c r="A81" s="294"/>
      <c r="B81" s="286" t="s">
        <v>647</v>
      </c>
      <c r="C81" s="306">
        <v>74174</v>
      </c>
      <c r="D81" s="307">
        <v>87152</v>
      </c>
      <c r="E81" s="307">
        <v>151876</v>
      </c>
      <c r="F81" s="307">
        <v>16997</v>
      </c>
      <c r="G81" s="307">
        <v>41237</v>
      </c>
      <c r="H81" s="307">
        <v>13231</v>
      </c>
      <c r="I81" s="307">
        <v>0</v>
      </c>
      <c r="J81" s="306">
        <v>384667</v>
      </c>
      <c r="K81" s="306">
        <v>0</v>
      </c>
      <c r="L81" s="307">
        <v>731909.10000000009</v>
      </c>
      <c r="M81" s="307">
        <v>796868.39999999991</v>
      </c>
      <c r="N81" s="307">
        <v>126711.90000000001</v>
      </c>
      <c r="O81" s="306">
        <v>1655489.4000000004</v>
      </c>
      <c r="P81" s="306">
        <v>0</v>
      </c>
      <c r="Q81" s="307">
        <v>0</v>
      </c>
      <c r="R81" s="306">
        <v>0</v>
      </c>
      <c r="S81" s="306">
        <v>0</v>
      </c>
      <c r="T81" s="308">
        <v>0</v>
      </c>
    </row>
    <row r="82" spans="1:20">
      <c r="A82" s="294"/>
      <c r="B82" s="286" t="s">
        <v>644</v>
      </c>
      <c r="C82" s="306">
        <v>303666</v>
      </c>
      <c r="D82" s="307">
        <v>137751</v>
      </c>
      <c r="E82" s="307">
        <v>260180</v>
      </c>
      <c r="F82" s="307">
        <v>11314</v>
      </c>
      <c r="G82" s="307">
        <v>19106</v>
      </c>
      <c r="H82" s="307">
        <v>1171</v>
      </c>
      <c r="I82" s="307"/>
      <c r="J82" s="306">
        <v>733188</v>
      </c>
      <c r="K82" s="306"/>
      <c r="L82" s="307">
        <v>0</v>
      </c>
      <c r="M82" s="307">
        <v>0</v>
      </c>
      <c r="N82" s="307">
        <v>0</v>
      </c>
      <c r="O82" s="306">
        <v>0</v>
      </c>
      <c r="P82" s="306"/>
      <c r="Q82" s="307"/>
      <c r="R82" s="306"/>
      <c r="S82" s="306"/>
      <c r="T82" s="308"/>
    </row>
    <row r="83" spans="1:20">
      <c r="A83" s="294"/>
      <c r="B83" s="286" t="s">
        <v>648</v>
      </c>
      <c r="C83" s="306">
        <v>315151</v>
      </c>
      <c r="D83" s="307">
        <v>142060</v>
      </c>
      <c r="E83" s="307">
        <v>273957</v>
      </c>
      <c r="F83" s="307">
        <v>9056</v>
      </c>
      <c r="G83" s="307">
        <v>21059</v>
      </c>
      <c r="H83" s="307">
        <v>1366</v>
      </c>
      <c r="I83" s="307"/>
      <c r="J83" s="306">
        <v>762649</v>
      </c>
      <c r="K83" s="306"/>
      <c r="L83" s="307">
        <v>0</v>
      </c>
      <c r="M83" s="307">
        <v>0</v>
      </c>
      <c r="N83" s="307">
        <v>0</v>
      </c>
      <c r="O83" s="306">
        <v>0</v>
      </c>
      <c r="P83" s="306"/>
      <c r="Q83" s="307"/>
      <c r="R83" s="306"/>
      <c r="S83" s="306"/>
      <c r="T83" s="308"/>
    </row>
    <row r="84" spans="1:20">
      <c r="A84" s="294"/>
      <c r="B84" s="286" t="s">
        <v>645</v>
      </c>
      <c r="C84" s="306">
        <v>23878</v>
      </c>
      <c r="D84" s="307">
        <v>11758</v>
      </c>
      <c r="E84" s="307">
        <v>72497</v>
      </c>
      <c r="F84" s="307">
        <v>2127</v>
      </c>
      <c r="G84" s="307">
        <v>5292</v>
      </c>
      <c r="H84" s="307">
        <v>234</v>
      </c>
      <c r="I84" s="307">
        <v>0</v>
      </c>
      <c r="J84" s="306">
        <v>115786</v>
      </c>
      <c r="K84" s="306">
        <v>0</v>
      </c>
      <c r="L84" s="307">
        <v>0</v>
      </c>
      <c r="M84" s="307">
        <v>0</v>
      </c>
      <c r="N84" s="307">
        <v>0</v>
      </c>
      <c r="O84" s="306">
        <v>0</v>
      </c>
      <c r="P84" s="306">
        <v>0</v>
      </c>
      <c r="Q84" s="307">
        <v>0</v>
      </c>
      <c r="R84" s="306">
        <v>0</v>
      </c>
      <c r="S84" s="306">
        <v>0</v>
      </c>
      <c r="T84" s="308">
        <v>0</v>
      </c>
    </row>
    <row r="85" spans="1:20">
      <c r="A85" s="299"/>
      <c r="B85" s="286" t="s">
        <v>649</v>
      </c>
      <c r="C85" s="306">
        <v>28205</v>
      </c>
      <c r="D85" s="307">
        <v>20516</v>
      </c>
      <c r="E85" s="307">
        <v>79342</v>
      </c>
      <c r="F85" s="307">
        <v>1224</v>
      </c>
      <c r="G85" s="307">
        <v>5637</v>
      </c>
      <c r="H85" s="307">
        <v>267</v>
      </c>
      <c r="I85" s="307">
        <v>0</v>
      </c>
      <c r="J85" s="306">
        <v>135191</v>
      </c>
      <c r="K85" s="306">
        <v>0</v>
      </c>
      <c r="L85" s="307">
        <v>0</v>
      </c>
      <c r="M85" s="307">
        <v>0</v>
      </c>
      <c r="N85" s="307">
        <v>0</v>
      </c>
      <c r="O85" s="306">
        <v>0</v>
      </c>
      <c r="P85" s="306">
        <v>0</v>
      </c>
      <c r="Q85" s="307">
        <v>0</v>
      </c>
      <c r="R85" s="306">
        <v>0</v>
      </c>
      <c r="S85" s="306">
        <v>0</v>
      </c>
      <c r="T85" s="308">
        <v>0</v>
      </c>
    </row>
    <row r="86" spans="1:20">
      <c r="A86" s="297" t="s">
        <v>326</v>
      </c>
      <c r="B86" s="264" t="s">
        <v>642</v>
      </c>
      <c r="C86" s="303">
        <v>1034006</v>
      </c>
      <c r="D86" s="304"/>
      <c r="E86" s="304">
        <v>511085</v>
      </c>
      <c r="F86" s="304"/>
      <c r="G86" s="304">
        <v>528724</v>
      </c>
      <c r="H86" s="304">
        <v>149161</v>
      </c>
      <c r="I86" s="304"/>
      <c r="J86" s="303">
        <v>2222976</v>
      </c>
      <c r="K86" s="303">
        <v>88090</v>
      </c>
      <c r="L86" s="304">
        <v>579239</v>
      </c>
      <c r="M86" s="304">
        <v>357987</v>
      </c>
      <c r="N86" s="304">
        <v>364550</v>
      </c>
      <c r="O86" s="303">
        <v>1389866</v>
      </c>
      <c r="P86" s="303"/>
      <c r="Q86" s="304"/>
      <c r="R86" s="303"/>
      <c r="S86" s="303"/>
      <c r="T86" s="305"/>
    </row>
    <row r="87" spans="1:20">
      <c r="A87" s="294"/>
      <c r="B87" s="286" t="s">
        <v>646</v>
      </c>
      <c r="C87" s="306">
        <v>1038948</v>
      </c>
      <c r="D87" s="307"/>
      <c r="E87" s="307">
        <v>541082</v>
      </c>
      <c r="F87" s="307"/>
      <c r="G87" s="307">
        <v>543994</v>
      </c>
      <c r="H87" s="307">
        <v>154217</v>
      </c>
      <c r="I87" s="307"/>
      <c r="J87" s="306">
        <v>2278241</v>
      </c>
      <c r="K87" s="306">
        <v>93148</v>
      </c>
      <c r="L87" s="307">
        <v>640500</v>
      </c>
      <c r="M87" s="307">
        <v>372605</v>
      </c>
      <c r="N87" s="307">
        <v>397517</v>
      </c>
      <c r="O87" s="306">
        <v>1503770</v>
      </c>
      <c r="P87" s="306"/>
      <c r="Q87" s="307"/>
      <c r="R87" s="306"/>
      <c r="S87" s="306"/>
      <c r="T87" s="308"/>
    </row>
    <row r="88" spans="1:20">
      <c r="A88" s="294"/>
      <c r="B88" s="286" t="s">
        <v>643</v>
      </c>
      <c r="C88" s="306">
        <v>53613</v>
      </c>
      <c r="D88" s="307">
        <v>0</v>
      </c>
      <c r="E88" s="307">
        <v>31027</v>
      </c>
      <c r="F88" s="307">
        <v>0</v>
      </c>
      <c r="G88" s="307">
        <v>73927</v>
      </c>
      <c r="H88" s="307">
        <v>29636</v>
      </c>
      <c r="I88" s="307">
        <v>0</v>
      </c>
      <c r="J88" s="306">
        <v>188203</v>
      </c>
      <c r="K88" s="306">
        <v>0</v>
      </c>
      <c r="L88" s="307">
        <v>107264</v>
      </c>
      <c r="M88" s="307">
        <v>69355</v>
      </c>
      <c r="N88" s="307">
        <v>77274</v>
      </c>
      <c r="O88" s="306">
        <v>253893</v>
      </c>
      <c r="P88" s="306">
        <v>0</v>
      </c>
      <c r="Q88" s="307">
        <v>0</v>
      </c>
      <c r="R88" s="306">
        <v>0</v>
      </c>
      <c r="S88" s="306">
        <v>0</v>
      </c>
      <c r="T88" s="308">
        <v>0</v>
      </c>
    </row>
    <row r="89" spans="1:20">
      <c r="A89" s="294"/>
      <c r="B89" s="286" t="s">
        <v>647</v>
      </c>
      <c r="C89" s="306">
        <v>91461</v>
      </c>
      <c r="D89" s="307">
        <v>0</v>
      </c>
      <c r="E89" s="307">
        <v>44817</v>
      </c>
      <c r="F89" s="307">
        <v>0</v>
      </c>
      <c r="G89" s="307">
        <v>108385</v>
      </c>
      <c r="H89" s="307">
        <v>33440</v>
      </c>
      <c r="I89" s="307">
        <v>0</v>
      </c>
      <c r="J89" s="306">
        <v>278103</v>
      </c>
      <c r="K89" s="306">
        <v>0</v>
      </c>
      <c r="L89" s="307">
        <v>119010</v>
      </c>
      <c r="M89" s="307">
        <v>84376</v>
      </c>
      <c r="N89" s="307">
        <v>96490</v>
      </c>
      <c r="O89" s="306">
        <v>299876</v>
      </c>
      <c r="P89" s="306">
        <v>0</v>
      </c>
      <c r="Q89" s="307">
        <v>0</v>
      </c>
      <c r="R89" s="306">
        <v>0</v>
      </c>
      <c r="S89" s="306">
        <v>0</v>
      </c>
      <c r="T89" s="308">
        <v>0</v>
      </c>
    </row>
    <row r="90" spans="1:20">
      <c r="A90" s="294"/>
      <c r="B90" s="286" t="s">
        <v>644</v>
      </c>
      <c r="C90" s="306">
        <v>157136</v>
      </c>
      <c r="D90" s="307"/>
      <c r="E90" s="307">
        <v>38114</v>
      </c>
      <c r="F90" s="307"/>
      <c r="G90" s="307">
        <v>44846</v>
      </c>
      <c r="H90" s="307">
        <v>0</v>
      </c>
      <c r="I90" s="307"/>
      <c r="J90" s="306">
        <v>240096</v>
      </c>
      <c r="K90" s="306">
        <v>0</v>
      </c>
      <c r="L90" s="307">
        <v>0</v>
      </c>
      <c r="M90" s="307">
        <v>0</v>
      </c>
      <c r="N90" s="307">
        <v>0</v>
      </c>
      <c r="O90" s="306">
        <v>0</v>
      </c>
      <c r="P90" s="306"/>
      <c r="Q90" s="307"/>
      <c r="R90" s="306"/>
      <c r="S90" s="306"/>
      <c r="T90" s="308"/>
    </row>
    <row r="91" spans="1:20">
      <c r="A91" s="294"/>
      <c r="B91" s="286" t="s">
        <v>648</v>
      </c>
      <c r="C91" s="306">
        <v>185989</v>
      </c>
      <c r="D91" s="307"/>
      <c r="E91" s="307">
        <v>43847</v>
      </c>
      <c r="F91" s="307"/>
      <c r="G91" s="307">
        <v>49964</v>
      </c>
      <c r="H91" s="307">
        <v>0</v>
      </c>
      <c r="I91" s="307"/>
      <c r="J91" s="306">
        <v>279800</v>
      </c>
      <c r="K91" s="306">
        <v>0</v>
      </c>
      <c r="L91" s="307">
        <v>0</v>
      </c>
      <c r="M91" s="307">
        <v>0</v>
      </c>
      <c r="N91" s="307">
        <v>0</v>
      </c>
      <c r="O91" s="306">
        <v>0</v>
      </c>
      <c r="P91" s="306"/>
      <c r="Q91" s="307"/>
      <c r="R91" s="306"/>
      <c r="S91" s="306"/>
      <c r="T91" s="308"/>
    </row>
    <row r="92" spans="1:20">
      <c r="A92" s="294"/>
      <c r="B92" s="286" t="s">
        <v>645</v>
      </c>
      <c r="C92" s="306">
        <v>18076</v>
      </c>
      <c r="D92" s="307">
        <v>0</v>
      </c>
      <c r="E92" s="307">
        <v>4399</v>
      </c>
      <c r="F92" s="307">
        <v>0</v>
      </c>
      <c r="G92" s="307">
        <v>15170</v>
      </c>
      <c r="H92" s="307">
        <v>0</v>
      </c>
      <c r="I92" s="307">
        <v>0</v>
      </c>
      <c r="J92" s="306">
        <v>37645</v>
      </c>
      <c r="K92" s="306">
        <v>0</v>
      </c>
      <c r="L92" s="307">
        <v>0</v>
      </c>
      <c r="M92" s="307">
        <v>0</v>
      </c>
      <c r="N92" s="307">
        <v>0</v>
      </c>
      <c r="O92" s="306">
        <v>0</v>
      </c>
      <c r="P92" s="306">
        <v>0</v>
      </c>
      <c r="Q92" s="307">
        <v>0</v>
      </c>
      <c r="R92" s="306">
        <v>0</v>
      </c>
      <c r="S92" s="306">
        <v>0</v>
      </c>
      <c r="T92" s="308">
        <v>0</v>
      </c>
    </row>
    <row r="93" spans="1:20">
      <c r="A93" s="299"/>
      <c r="B93" s="286" t="s">
        <v>649</v>
      </c>
      <c r="C93" s="306">
        <v>21078</v>
      </c>
      <c r="D93" s="307">
        <v>0</v>
      </c>
      <c r="E93" s="307">
        <v>4049</v>
      </c>
      <c r="F93" s="307">
        <v>0</v>
      </c>
      <c r="G93" s="307">
        <v>16824</v>
      </c>
      <c r="H93" s="307">
        <v>0</v>
      </c>
      <c r="I93" s="307">
        <v>0</v>
      </c>
      <c r="J93" s="306">
        <v>41951</v>
      </c>
      <c r="K93" s="306">
        <v>0</v>
      </c>
      <c r="L93" s="307">
        <v>0</v>
      </c>
      <c r="M93" s="307">
        <v>0</v>
      </c>
      <c r="N93" s="307">
        <v>0</v>
      </c>
      <c r="O93" s="306">
        <v>0</v>
      </c>
      <c r="P93" s="306">
        <v>0</v>
      </c>
      <c r="Q93" s="307">
        <v>0</v>
      </c>
      <c r="R93" s="306">
        <v>0</v>
      </c>
      <c r="S93" s="306">
        <v>0</v>
      </c>
      <c r="T93" s="308">
        <v>0</v>
      </c>
    </row>
    <row r="94" spans="1:20">
      <c r="A94" s="297" t="s">
        <v>354</v>
      </c>
      <c r="B94" s="264" t="s">
        <v>642</v>
      </c>
      <c r="C94" s="303">
        <v>1018939</v>
      </c>
      <c r="D94" s="304"/>
      <c r="E94" s="304">
        <v>428374.5</v>
      </c>
      <c r="F94" s="304">
        <v>81587</v>
      </c>
      <c r="G94" s="304">
        <v>433677</v>
      </c>
      <c r="H94" s="304">
        <v>323373.5</v>
      </c>
      <c r="I94" s="304">
        <v>0</v>
      </c>
      <c r="J94" s="303">
        <v>2285951</v>
      </c>
      <c r="K94" s="303"/>
      <c r="L94" s="304">
        <v>877880.48</v>
      </c>
      <c r="M94" s="304">
        <v>941941.85</v>
      </c>
      <c r="N94" s="304">
        <v>207221.99</v>
      </c>
      <c r="O94" s="303">
        <v>2027044.32</v>
      </c>
      <c r="P94" s="303"/>
      <c r="Q94" s="304"/>
      <c r="R94" s="303"/>
      <c r="S94" s="303"/>
      <c r="T94" s="305"/>
    </row>
    <row r="95" spans="1:20">
      <c r="A95" s="294"/>
      <c r="B95" s="286" t="s">
        <v>646</v>
      </c>
      <c r="C95" s="306">
        <v>1058660</v>
      </c>
      <c r="D95" s="307"/>
      <c r="E95" s="307">
        <v>433308</v>
      </c>
      <c r="F95" s="307">
        <v>83574</v>
      </c>
      <c r="G95" s="307">
        <v>439761</v>
      </c>
      <c r="H95" s="307">
        <v>342501</v>
      </c>
      <c r="I95" s="307">
        <v>0</v>
      </c>
      <c r="J95" s="306">
        <v>2357804</v>
      </c>
      <c r="K95" s="306"/>
      <c r="L95" s="307">
        <v>971991</v>
      </c>
      <c r="M95" s="307">
        <v>1090511</v>
      </c>
      <c r="N95" s="307">
        <v>224001</v>
      </c>
      <c r="O95" s="306">
        <v>2286503</v>
      </c>
      <c r="P95" s="306"/>
      <c r="Q95" s="307"/>
      <c r="R95" s="306"/>
      <c r="S95" s="306"/>
      <c r="T95" s="308"/>
    </row>
    <row r="96" spans="1:20">
      <c r="A96" s="294"/>
      <c r="B96" s="286" t="s">
        <v>643</v>
      </c>
      <c r="C96" s="306">
        <v>27969</v>
      </c>
      <c r="D96" s="307">
        <v>0</v>
      </c>
      <c r="E96" s="307">
        <v>0</v>
      </c>
      <c r="F96" s="307">
        <v>102</v>
      </c>
      <c r="G96" s="307">
        <v>4437</v>
      </c>
      <c r="H96" s="307">
        <v>5937.5</v>
      </c>
      <c r="I96" s="307">
        <v>0</v>
      </c>
      <c r="J96" s="306">
        <v>38445.5</v>
      </c>
      <c r="K96" s="306">
        <v>0</v>
      </c>
      <c r="L96" s="307">
        <v>139206</v>
      </c>
      <c r="M96" s="307">
        <v>156296</v>
      </c>
      <c r="N96" s="307">
        <v>17237</v>
      </c>
      <c r="O96" s="306">
        <v>312739</v>
      </c>
      <c r="P96" s="306">
        <v>0</v>
      </c>
      <c r="Q96" s="307">
        <v>0</v>
      </c>
      <c r="R96" s="306">
        <v>0</v>
      </c>
      <c r="S96" s="306">
        <v>0</v>
      </c>
      <c r="T96" s="308">
        <v>0</v>
      </c>
    </row>
    <row r="97" spans="1:20">
      <c r="A97" s="294"/>
      <c r="B97" s="286" t="s">
        <v>647</v>
      </c>
      <c r="C97" s="306">
        <v>35942</v>
      </c>
      <c r="D97" s="307">
        <v>0</v>
      </c>
      <c r="E97" s="307">
        <v>0</v>
      </c>
      <c r="F97" s="307">
        <v>108</v>
      </c>
      <c r="G97" s="307">
        <v>9468</v>
      </c>
      <c r="H97" s="307">
        <v>15705</v>
      </c>
      <c r="I97" s="307">
        <v>0</v>
      </c>
      <c r="J97" s="306">
        <v>61223</v>
      </c>
      <c r="K97" s="306">
        <v>0</v>
      </c>
      <c r="L97" s="307">
        <v>176988</v>
      </c>
      <c r="M97" s="307">
        <v>192078</v>
      </c>
      <c r="N97" s="307">
        <v>25381</v>
      </c>
      <c r="O97" s="306">
        <v>394447</v>
      </c>
      <c r="P97" s="306">
        <v>0</v>
      </c>
      <c r="Q97" s="307">
        <v>0</v>
      </c>
      <c r="R97" s="306">
        <v>0</v>
      </c>
      <c r="S97" s="306">
        <v>0</v>
      </c>
      <c r="T97" s="308">
        <v>0</v>
      </c>
    </row>
    <row r="98" spans="1:20">
      <c r="A98" s="294"/>
      <c r="B98" s="286" t="s">
        <v>644</v>
      </c>
      <c r="C98" s="306">
        <v>166863</v>
      </c>
      <c r="D98" s="307"/>
      <c r="E98" s="307">
        <v>35469</v>
      </c>
      <c r="F98" s="307">
        <v>15795.5</v>
      </c>
      <c r="G98" s="307">
        <v>25589</v>
      </c>
      <c r="H98" s="307">
        <v>4272</v>
      </c>
      <c r="I98" s="307">
        <v>0</v>
      </c>
      <c r="J98" s="306">
        <v>247988.5</v>
      </c>
      <c r="K98" s="306"/>
      <c r="L98" s="307">
        <v>0</v>
      </c>
      <c r="M98" s="307">
        <v>0</v>
      </c>
      <c r="N98" s="307">
        <v>0</v>
      </c>
      <c r="O98" s="306">
        <v>0</v>
      </c>
      <c r="P98" s="306"/>
      <c r="Q98" s="307"/>
      <c r="R98" s="306"/>
      <c r="S98" s="306"/>
      <c r="T98" s="308"/>
    </row>
    <row r="99" spans="1:20">
      <c r="A99" s="294"/>
      <c r="B99" s="286" t="s">
        <v>648</v>
      </c>
      <c r="C99" s="306">
        <v>179093</v>
      </c>
      <c r="D99" s="307"/>
      <c r="E99" s="307">
        <v>36433</v>
      </c>
      <c r="F99" s="307">
        <v>15590</v>
      </c>
      <c r="G99" s="307">
        <v>23565</v>
      </c>
      <c r="H99" s="307">
        <v>3775</v>
      </c>
      <c r="I99" s="307">
        <v>0</v>
      </c>
      <c r="J99" s="306">
        <v>258456</v>
      </c>
      <c r="K99" s="306"/>
      <c r="L99" s="307">
        <v>0</v>
      </c>
      <c r="M99" s="307">
        <v>0</v>
      </c>
      <c r="N99" s="307">
        <v>0</v>
      </c>
      <c r="O99" s="306">
        <v>0</v>
      </c>
      <c r="P99" s="306"/>
      <c r="Q99" s="307"/>
      <c r="R99" s="306"/>
      <c r="S99" s="306"/>
      <c r="T99" s="308"/>
    </row>
    <row r="100" spans="1:20">
      <c r="A100" s="294"/>
      <c r="B100" s="286" t="s">
        <v>645</v>
      </c>
      <c r="C100" s="306">
        <v>27031</v>
      </c>
      <c r="D100" s="307">
        <v>0</v>
      </c>
      <c r="E100" s="307">
        <v>288</v>
      </c>
      <c r="F100" s="307">
        <v>581</v>
      </c>
      <c r="G100" s="307">
        <v>2373</v>
      </c>
      <c r="H100" s="307">
        <v>597</v>
      </c>
      <c r="I100" s="307">
        <v>0</v>
      </c>
      <c r="J100" s="306">
        <v>30870</v>
      </c>
      <c r="K100" s="306">
        <v>0</v>
      </c>
      <c r="L100" s="307">
        <v>0</v>
      </c>
      <c r="M100" s="307">
        <v>0</v>
      </c>
      <c r="N100" s="307">
        <v>0</v>
      </c>
      <c r="O100" s="306">
        <v>0</v>
      </c>
      <c r="P100" s="306">
        <v>0</v>
      </c>
      <c r="Q100" s="307">
        <v>0</v>
      </c>
      <c r="R100" s="306">
        <v>0</v>
      </c>
      <c r="S100" s="306">
        <v>0</v>
      </c>
      <c r="T100" s="308">
        <v>0</v>
      </c>
    </row>
    <row r="101" spans="1:20">
      <c r="A101" s="299"/>
      <c r="B101" s="286" t="s">
        <v>649</v>
      </c>
      <c r="C101" s="306">
        <v>34229</v>
      </c>
      <c r="D101" s="307">
        <v>0</v>
      </c>
      <c r="E101" s="307">
        <v>93</v>
      </c>
      <c r="F101" s="307">
        <v>579</v>
      </c>
      <c r="G101" s="307">
        <v>4947</v>
      </c>
      <c r="H101" s="307">
        <v>963</v>
      </c>
      <c r="I101" s="307">
        <v>0</v>
      </c>
      <c r="J101" s="306">
        <v>40811</v>
      </c>
      <c r="K101" s="306">
        <v>0</v>
      </c>
      <c r="L101" s="307">
        <v>0</v>
      </c>
      <c r="M101" s="307">
        <v>0</v>
      </c>
      <c r="N101" s="307">
        <v>0</v>
      </c>
      <c r="O101" s="306">
        <v>0</v>
      </c>
      <c r="P101" s="306">
        <v>0</v>
      </c>
      <c r="Q101" s="307">
        <v>0</v>
      </c>
      <c r="R101" s="306">
        <v>0</v>
      </c>
      <c r="S101" s="306">
        <v>0</v>
      </c>
      <c r="T101" s="308">
        <v>0</v>
      </c>
    </row>
    <row r="102" spans="1:20">
      <c r="A102" s="297" t="s">
        <v>387</v>
      </c>
      <c r="B102" s="264" t="s">
        <v>642</v>
      </c>
      <c r="C102" s="303">
        <v>1022049</v>
      </c>
      <c r="D102" s="304"/>
      <c r="E102" s="304">
        <v>1500352</v>
      </c>
      <c r="F102" s="304">
        <v>217042</v>
      </c>
      <c r="G102" s="304">
        <v>184664</v>
      </c>
      <c r="H102" s="304"/>
      <c r="I102" s="304">
        <v>0</v>
      </c>
      <c r="J102" s="303">
        <v>2924107</v>
      </c>
      <c r="K102" s="303"/>
      <c r="L102" s="304">
        <v>577619</v>
      </c>
      <c r="M102" s="304">
        <v>976795</v>
      </c>
      <c r="N102" s="304">
        <v>51542</v>
      </c>
      <c r="O102" s="303">
        <v>1605956</v>
      </c>
      <c r="P102" s="303"/>
      <c r="Q102" s="304">
        <v>9933530</v>
      </c>
      <c r="R102" s="303">
        <v>9933530</v>
      </c>
      <c r="S102" s="303"/>
      <c r="T102" s="305"/>
    </row>
    <row r="103" spans="1:20">
      <c r="A103" s="294"/>
      <c r="B103" s="286" t="s">
        <v>646</v>
      </c>
      <c r="C103" s="306">
        <v>1030515</v>
      </c>
      <c r="D103" s="307"/>
      <c r="E103" s="307">
        <v>1556137</v>
      </c>
      <c r="F103" s="307">
        <v>222816</v>
      </c>
      <c r="G103" s="307">
        <v>193747</v>
      </c>
      <c r="H103" s="307"/>
      <c r="I103" s="307">
        <v>0</v>
      </c>
      <c r="J103" s="306">
        <v>3003215</v>
      </c>
      <c r="K103" s="306"/>
      <c r="L103" s="307">
        <v>653285</v>
      </c>
      <c r="M103" s="307">
        <v>1103557</v>
      </c>
      <c r="N103" s="307">
        <v>61785</v>
      </c>
      <c r="O103" s="306">
        <v>1818627</v>
      </c>
      <c r="P103" s="306"/>
      <c r="Q103" s="307">
        <v>11553299</v>
      </c>
      <c r="R103" s="306">
        <v>11553299</v>
      </c>
      <c r="S103" s="306"/>
      <c r="T103" s="308"/>
    </row>
    <row r="104" spans="1:20">
      <c r="A104" s="294"/>
      <c r="B104" s="286" t="s">
        <v>643</v>
      </c>
      <c r="C104" s="306">
        <v>121365</v>
      </c>
      <c r="D104" s="307">
        <v>0</v>
      </c>
      <c r="E104" s="307">
        <v>147976</v>
      </c>
      <c r="F104" s="307">
        <v>56814</v>
      </c>
      <c r="G104" s="307">
        <v>7747</v>
      </c>
      <c r="H104" s="307">
        <v>0</v>
      </c>
      <c r="I104" s="307">
        <v>0</v>
      </c>
      <c r="J104" s="306">
        <v>333902</v>
      </c>
      <c r="K104" s="306">
        <v>0</v>
      </c>
      <c r="L104" s="307">
        <v>82914</v>
      </c>
      <c r="M104" s="307">
        <v>201657</v>
      </c>
      <c r="N104" s="307">
        <v>11289</v>
      </c>
      <c r="O104" s="306">
        <v>295860</v>
      </c>
      <c r="P104" s="306">
        <v>0</v>
      </c>
      <c r="Q104" s="307">
        <v>0</v>
      </c>
      <c r="R104" s="306">
        <v>0</v>
      </c>
      <c r="S104" s="306">
        <v>0</v>
      </c>
      <c r="T104" s="308">
        <v>0</v>
      </c>
    </row>
    <row r="105" spans="1:20">
      <c r="A105" s="294"/>
      <c r="B105" s="286" t="s">
        <v>647</v>
      </c>
      <c r="C105" s="306">
        <v>133054</v>
      </c>
      <c r="D105" s="307">
        <v>0</v>
      </c>
      <c r="E105" s="307">
        <v>157460</v>
      </c>
      <c r="F105" s="307">
        <v>58047</v>
      </c>
      <c r="G105" s="307">
        <v>9483</v>
      </c>
      <c r="H105" s="307">
        <v>0</v>
      </c>
      <c r="I105" s="307">
        <v>0</v>
      </c>
      <c r="J105" s="306">
        <v>358044</v>
      </c>
      <c r="K105" s="306">
        <v>0</v>
      </c>
      <c r="L105" s="307">
        <v>113994</v>
      </c>
      <c r="M105" s="307">
        <v>253276</v>
      </c>
      <c r="N105" s="307">
        <v>11942</v>
      </c>
      <c r="O105" s="306">
        <v>379212</v>
      </c>
      <c r="P105" s="306">
        <v>0</v>
      </c>
      <c r="Q105" s="307">
        <v>0</v>
      </c>
      <c r="R105" s="306">
        <v>0</v>
      </c>
      <c r="S105" s="306">
        <v>0</v>
      </c>
      <c r="T105" s="308">
        <v>0</v>
      </c>
    </row>
    <row r="106" spans="1:20">
      <c r="A106" s="294"/>
      <c r="B106" s="286" t="s">
        <v>644</v>
      </c>
      <c r="C106" s="306">
        <v>198889</v>
      </c>
      <c r="D106" s="307"/>
      <c r="E106" s="307">
        <v>166883</v>
      </c>
      <c r="F106" s="307">
        <v>13409</v>
      </c>
      <c r="G106" s="307">
        <v>6274</v>
      </c>
      <c r="H106" s="307"/>
      <c r="I106" s="307">
        <v>0</v>
      </c>
      <c r="J106" s="306">
        <v>385455</v>
      </c>
      <c r="K106" s="306"/>
      <c r="L106" s="307">
        <v>0</v>
      </c>
      <c r="M106" s="307">
        <v>0</v>
      </c>
      <c r="N106" s="307">
        <v>0</v>
      </c>
      <c r="O106" s="306">
        <v>0</v>
      </c>
      <c r="P106" s="306"/>
      <c r="Q106" s="307">
        <v>0</v>
      </c>
      <c r="R106" s="306">
        <v>0</v>
      </c>
      <c r="S106" s="306"/>
      <c r="T106" s="308"/>
    </row>
    <row r="107" spans="1:20">
      <c r="A107" s="294"/>
      <c r="B107" s="286" t="s">
        <v>648</v>
      </c>
      <c r="C107" s="306">
        <v>202679</v>
      </c>
      <c r="D107" s="307"/>
      <c r="E107" s="307">
        <v>177273</v>
      </c>
      <c r="F107" s="307">
        <v>13533</v>
      </c>
      <c r="G107" s="307">
        <v>7808</v>
      </c>
      <c r="H107" s="307"/>
      <c r="I107" s="307">
        <v>0</v>
      </c>
      <c r="J107" s="306">
        <v>401293</v>
      </c>
      <c r="K107" s="306"/>
      <c r="L107" s="307">
        <v>0</v>
      </c>
      <c r="M107" s="307">
        <v>0</v>
      </c>
      <c r="N107" s="307">
        <v>0</v>
      </c>
      <c r="O107" s="306">
        <v>0</v>
      </c>
      <c r="P107" s="306"/>
      <c r="Q107" s="307">
        <v>0</v>
      </c>
      <c r="R107" s="306">
        <v>0</v>
      </c>
      <c r="S107" s="306"/>
      <c r="T107" s="308"/>
    </row>
    <row r="108" spans="1:20">
      <c r="A108" s="294"/>
      <c r="B108" s="286" t="s">
        <v>645</v>
      </c>
      <c r="C108" s="306">
        <v>26026</v>
      </c>
      <c r="D108" s="307">
        <v>0</v>
      </c>
      <c r="E108" s="307">
        <v>30455</v>
      </c>
      <c r="F108" s="307">
        <v>6932</v>
      </c>
      <c r="G108" s="307">
        <v>3896</v>
      </c>
      <c r="H108" s="307">
        <v>0</v>
      </c>
      <c r="I108" s="307">
        <v>0</v>
      </c>
      <c r="J108" s="306">
        <v>67309</v>
      </c>
      <c r="K108" s="306">
        <v>0</v>
      </c>
      <c r="L108" s="307">
        <v>0</v>
      </c>
      <c r="M108" s="307">
        <v>0</v>
      </c>
      <c r="N108" s="307">
        <v>0</v>
      </c>
      <c r="O108" s="306">
        <v>0</v>
      </c>
      <c r="P108" s="306">
        <v>0</v>
      </c>
      <c r="Q108" s="307">
        <v>0</v>
      </c>
      <c r="R108" s="306">
        <v>0</v>
      </c>
      <c r="S108" s="306">
        <v>0</v>
      </c>
      <c r="T108" s="308">
        <v>0</v>
      </c>
    </row>
    <row r="109" spans="1:20">
      <c r="A109" s="299"/>
      <c r="B109" s="286" t="s">
        <v>649</v>
      </c>
      <c r="C109" s="306">
        <v>31554</v>
      </c>
      <c r="D109" s="307">
        <v>0</v>
      </c>
      <c r="E109" s="307">
        <v>39728</v>
      </c>
      <c r="F109" s="307">
        <v>7190</v>
      </c>
      <c r="G109" s="307">
        <v>5204</v>
      </c>
      <c r="H109" s="307">
        <v>0</v>
      </c>
      <c r="I109" s="307">
        <v>0</v>
      </c>
      <c r="J109" s="306">
        <v>83676</v>
      </c>
      <c r="K109" s="306">
        <v>0</v>
      </c>
      <c r="L109" s="307">
        <v>0</v>
      </c>
      <c r="M109" s="307">
        <v>0</v>
      </c>
      <c r="N109" s="307">
        <v>0</v>
      </c>
      <c r="O109" s="306">
        <v>0</v>
      </c>
      <c r="P109" s="306">
        <v>0</v>
      </c>
      <c r="Q109" s="307">
        <v>0</v>
      </c>
      <c r="R109" s="306">
        <v>0</v>
      </c>
      <c r="S109" s="306">
        <v>0</v>
      </c>
      <c r="T109" s="308">
        <v>0</v>
      </c>
    </row>
    <row r="110" spans="1:20">
      <c r="A110" s="297" t="s">
        <v>438</v>
      </c>
      <c r="B110" s="264" t="s">
        <v>642</v>
      </c>
      <c r="C110" s="303">
        <v>4866655</v>
      </c>
      <c r="D110" s="304">
        <v>1203233</v>
      </c>
      <c r="E110" s="304">
        <v>3777636</v>
      </c>
      <c r="F110" s="304">
        <v>213234</v>
      </c>
      <c r="G110" s="304">
        <v>270911</v>
      </c>
      <c r="H110" s="304">
        <v>44481</v>
      </c>
      <c r="I110" s="304"/>
      <c r="J110" s="303">
        <v>10376150</v>
      </c>
      <c r="K110" s="303">
        <v>569202</v>
      </c>
      <c r="L110" s="304">
        <v>8227078</v>
      </c>
      <c r="M110" s="304">
        <v>2615250</v>
      </c>
      <c r="N110" s="304">
        <v>553231</v>
      </c>
      <c r="O110" s="303">
        <v>11964761</v>
      </c>
      <c r="P110" s="303"/>
      <c r="Q110" s="304"/>
      <c r="R110" s="303"/>
      <c r="S110" s="303">
        <v>0</v>
      </c>
      <c r="T110" s="305">
        <v>0</v>
      </c>
    </row>
    <row r="111" spans="1:20">
      <c r="A111" s="294"/>
      <c r="B111" s="286" t="s">
        <v>646</v>
      </c>
      <c r="C111" s="306">
        <v>4928585</v>
      </c>
      <c r="D111" s="307">
        <v>1221849</v>
      </c>
      <c r="E111" s="307">
        <v>3862604</v>
      </c>
      <c r="F111" s="307">
        <v>222597</v>
      </c>
      <c r="G111" s="307">
        <v>276483</v>
      </c>
      <c r="H111" s="307">
        <v>49077</v>
      </c>
      <c r="I111" s="307"/>
      <c r="J111" s="306">
        <v>10561195</v>
      </c>
      <c r="K111" s="306">
        <v>645990</v>
      </c>
      <c r="L111" s="307">
        <v>9025044</v>
      </c>
      <c r="M111" s="307">
        <v>2903555</v>
      </c>
      <c r="N111" s="307">
        <v>594945</v>
      </c>
      <c r="O111" s="306">
        <v>13169534</v>
      </c>
      <c r="P111" s="306"/>
      <c r="Q111" s="307"/>
      <c r="R111" s="306"/>
      <c r="S111" s="306">
        <v>38542</v>
      </c>
      <c r="T111" s="308">
        <v>38542</v>
      </c>
    </row>
    <row r="112" spans="1:20">
      <c r="A112" s="294"/>
      <c r="B112" s="286" t="s">
        <v>643</v>
      </c>
      <c r="C112" s="306">
        <v>241333</v>
      </c>
      <c r="D112" s="307">
        <v>62145</v>
      </c>
      <c r="E112" s="307">
        <v>175167</v>
      </c>
      <c r="F112" s="307">
        <v>48460</v>
      </c>
      <c r="G112" s="307">
        <v>30516</v>
      </c>
      <c r="H112" s="307">
        <v>0</v>
      </c>
      <c r="I112" s="307">
        <v>0</v>
      </c>
      <c r="J112" s="306">
        <v>557621</v>
      </c>
      <c r="K112" s="306">
        <v>81072</v>
      </c>
      <c r="L112" s="307">
        <v>1237032</v>
      </c>
      <c r="M112" s="307">
        <v>393137</v>
      </c>
      <c r="N112" s="307">
        <v>114178</v>
      </c>
      <c r="O112" s="306">
        <v>1825419</v>
      </c>
      <c r="P112" s="306">
        <v>0</v>
      </c>
      <c r="Q112" s="307">
        <v>0</v>
      </c>
      <c r="R112" s="306">
        <v>0</v>
      </c>
      <c r="S112" s="306">
        <v>0</v>
      </c>
      <c r="T112" s="308">
        <v>0</v>
      </c>
    </row>
    <row r="113" spans="1:20">
      <c r="A113" s="294"/>
      <c r="B113" s="286" t="s">
        <v>647</v>
      </c>
      <c r="C113" s="306">
        <v>264615</v>
      </c>
      <c r="D113" s="307">
        <v>66914</v>
      </c>
      <c r="E113" s="307">
        <v>211384</v>
      </c>
      <c r="F113" s="307">
        <v>58381</v>
      </c>
      <c r="G113" s="307">
        <v>34902</v>
      </c>
      <c r="H113" s="307">
        <v>0</v>
      </c>
      <c r="I113" s="307">
        <v>0</v>
      </c>
      <c r="J113" s="306">
        <v>636196</v>
      </c>
      <c r="K113" s="306">
        <v>98090</v>
      </c>
      <c r="L113" s="307">
        <v>1434589</v>
      </c>
      <c r="M113" s="307">
        <v>482549</v>
      </c>
      <c r="N113" s="307">
        <v>140023</v>
      </c>
      <c r="O113" s="306">
        <v>2155251</v>
      </c>
      <c r="P113" s="306">
        <v>0</v>
      </c>
      <c r="Q113" s="307">
        <v>0</v>
      </c>
      <c r="R113" s="306">
        <v>0</v>
      </c>
      <c r="S113" s="306">
        <v>1611</v>
      </c>
      <c r="T113" s="308">
        <v>1611</v>
      </c>
    </row>
    <row r="114" spans="1:20">
      <c r="A114" s="294"/>
      <c r="B114" s="286" t="s">
        <v>644</v>
      </c>
      <c r="C114" s="306">
        <v>991581</v>
      </c>
      <c r="D114" s="307">
        <v>190617</v>
      </c>
      <c r="E114" s="307">
        <v>602961</v>
      </c>
      <c r="F114" s="307">
        <v>52310</v>
      </c>
      <c r="G114" s="307">
        <v>4950</v>
      </c>
      <c r="H114" s="307">
        <v>824</v>
      </c>
      <c r="I114" s="307"/>
      <c r="J114" s="306">
        <v>1843243</v>
      </c>
      <c r="K114" s="306">
        <v>0</v>
      </c>
      <c r="L114" s="307">
        <v>0</v>
      </c>
      <c r="M114" s="307">
        <v>0</v>
      </c>
      <c r="N114" s="307">
        <v>0</v>
      </c>
      <c r="O114" s="306">
        <v>0</v>
      </c>
      <c r="P114" s="306"/>
      <c r="Q114" s="307"/>
      <c r="R114" s="306"/>
      <c r="S114" s="306">
        <v>0</v>
      </c>
      <c r="T114" s="308">
        <v>0</v>
      </c>
    </row>
    <row r="115" spans="1:20">
      <c r="A115" s="294"/>
      <c r="B115" s="286" t="s">
        <v>648</v>
      </c>
      <c r="C115" s="306">
        <v>1023831</v>
      </c>
      <c r="D115" s="307">
        <v>202781</v>
      </c>
      <c r="E115" s="307">
        <v>627691</v>
      </c>
      <c r="F115" s="307">
        <v>56044</v>
      </c>
      <c r="G115" s="307">
        <v>5490</v>
      </c>
      <c r="H115" s="307">
        <v>874</v>
      </c>
      <c r="I115" s="307"/>
      <c r="J115" s="306">
        <v>1916711</v>
      </c>
      <c r="K115" s="306">
        <v>0</v>
      </c>
      <c r="L115" s="307">
        <v>0</v>
      </c>
      <c r="M115" s="307">
        <v>0</v>
      </c>
      <c r="N115" s="307">
        <v>0</v>
      </c>
      <c r="O115" s="306">
        <v>0</v>
      </c>
      <c r="P115" s="306"/>
      <c r="Q115" s="307"/>
      <c r="R115" s="306"/>
      <c r="S115" s="306">
        <v>9177</v>
      </c>
      <c r="T115" s="308">
        <v>9177</v>
      </c>
    </row>
    <row r="116" spans="1:20">
      <c r="A116" s="294"/>
      <c r="B116" s="286" t="s">
        <v>645</v>
      </c>
      <c r="C116" s="306">
        <v>79570</v>
      </c>
      <c r="D116" s="307">
        <v>44697</v>
      </c>
      <c r="E116" s="307">
        <v>162295</v>
      </c>
      <c r="F116" s="307">
        <v>23706</v>
      </c>
      <c r="G116" s="307">
        <v>552</v>
      </c>
      <c r="H116" s="307">
        <v>0</v>
      </c>
      <c r="I116" s="307">
        <v>0</v>
      </c>
      <c r="J116" s="306">
        <v>310820</v>
      </c>
      <c r="K116" s="306">
        <v>0</v>
      </c>
      <c r="L116" s="307">
        <v>0</v>
      </c>
      <c r="M116" s="307">
        <v>0</v>
      </c>
      <c r="N116" s="307">
        <v>0</v>
      </c>
      <c r="O116" s="306">
        <v>0</v>
      </c>
      <c r="P116" s="306">
        <v>0</v>
      </c>
      <c r="Q116" s="307">
        <v>0</v>
      </c>
      <c r="R116" s="306">
        <v>0</v>
      </c>
      <c r="S116" s="306">
        <v>0</v>
      </c>
      <c r="T116" s="308">
        <v>0</v>
      </c>
    </row>
    <row r="117" spans="1:20">
      <c r="A117" s="299"/>
      <c r="B117" s="286" t="s">
        <v>649</v>
      </c>
      <c r="C117" s="306">
        <v>84205</v>
      </c>
      <c r="D117" s="307">
        <v>51851</v>
      </c>
      <c r="E117" s="307">
        <v>194929</v>
      </c>
      <c r="F117" s="307">
        <v>26055</v>
      </c>
      <c r="G117" s="307">
        <v>1014</v>
      </c>
      <c r="H117" s="307">
        <v>36</v>
      </c>
      <c r="I117" s="307">
        <v>0</v>
      </c>
      <c r="J117" s="306">
        <v>358090</v>
      </c>
      <c r="K117" s="306">
        <v>0</v>
      </c>
      <c r="L117" s="307">
        <v>0</v>
      </c>
      <c r="M117" s="307">
        <v>0</v>
      </c>
      <c r="N117" s="307">
        <v>0</v>
      </c>
      <c r="O117" s="306">
        <v>0</v>
      </c>
      <c r="P117" s="306">
        <v>0</v>
      </c>
      <c r="Q117" s="307">
        <v>0</v>
      </c>
      <c r="R117" s="306">
        <v>0</v>
      </c>
      <c r="S117" s="306">
        <v>132</v>
      </c>
      <c r="T117" s="308">
        <v>132</v>
      </c>
    </row>
    <row r="118" spans="1:20">
      <c r="A118" s="297" t="s">
        <v>542</v>
      </c>
      <c r="B118" s="29" t="s">
        <v>642</v>
      </c>
      <c r="C118" s="303"/>
      <c r="D118" s="304"/>
      <c r="E118" s="304"/>
      <c r="F118" s="304"/>
      <c r="G118" s="304"/>
      <c r="H118" s="304"/>
      <c r="I118" s="304"/>
      <c r="J118" s="303"/>
      <c r="K118" s="303"/>
      <c r="L118" s="304"/>
      <c r="M118" s="304"/>
      <c r="N118" s="304"/>
      <c r="O118" s="303"/>
      <c r="P118" s="303"/>
      <c r="Q118" s="304"/>
      <c r="R118" s="303"/>
      <c r="S118" s="303"/>
      <c r="T118" s="305"/>
    </row>
    <row r="119" spans="1:20">
      <c r="A119" s="294"/>
      <c r="B119" s="30" t="s">
        <v>646</v>
      </c>
      <c r="C119" s="306"/>
      <c r="D119" s="307"/>
      <c r="E119" s="307"/>
      <c r="F119" s="307"/>
      <c r="G119" s="307"/>
      <c r="H119" s="307"/>
      <c r="I119" s="307"/>
      <c r="J119" s="306"/>
      <c r="K119" s="306"/>
      <c r="L119" s="307"/>
      <c r="M119" s="307"/>
      <c r="N119" s="307"/>
      <c r="O119" s="306"/>
      <c r="P119" s="306"/>
      <c r="Q119" s="307"/>
      <c r="R119" s="306"/>
      <c r="S119" s="306"/>
      <c r="T119" s="308"/>
    </row>
    <row r="120" spans="1:20">
      <c r="A120" s="294"/>
      <c r="B120" s="30" t="s">
        <v>643</v>
      </c>
      <c r="C120" s="306">
        <v>0</v>
      </c>
      <c r="D120" s="307">
        <v>0</v>
      </c>
      <c r="E120" s="307">
        <v>0</v>
      </c>
      <c r="F120" s="307">
        <v>0</v>
      </c>
      <c r="G120" s="307">
        <v>0</v>
      </c>
      <c r="H120" s="307">
        <v>0</v>
      </c>
      <c r="I120" s="307">
        <v>0</v>
      </c>
      <c r="J120" s="306">
        <v>0</v>
      </c>
      <c r="K120" s="306">
        <v>0</v>
      </c>
      <c r="L120" s="307">
        <v>0</v>
      </c>
      <c r="M120" s="307">
        <v>0</v>
      </c>
      <c r="N120" s="307">
        <v>0</v>
      </c>
      <c r="O120" s="306">
        <v>0</v>
      </c>
      <c r="P120" s="306">
        <v>0</v>
      </c>
      <c r="Q120" s="307">
        <v>0</v>
      </c>
      <c r="R120" s="306">
        <v>0</v>
      </c>
      <c r="S120" s="306">
        <v>0</v>
      </c>
      <c r="T120" s="308">
        <v>0</v>
      </c>
    </row>
    <row r="121" spans="1:20">
      <c r="A121" s="294"/>
      <c r="B121" s="30" t="s">
        <v>647</v>
      </c>
      <c r="C121" s="306">
        <v>0</v>
      </c>
      <c r="D121" s="307">
        <v>0</v>
      </c>
      <c r="E121" s="307">
        <v>0</v>
      </c>
      <c r="F121" s="307">
        <v>0</v>
      </c>
      <c r="G121" s="307">
        <v>0</v>
      </c>
      <c r="H121" s="307">
        <v>0</v>
      </c>
      <c r="I121" s="307">
        <v>0</v>
      </c>
      <c r="J121" s="306">
        <v>0</v>
      </c>
      <c r="K121" s="306">
        <v>0</v>
      </c>
      <c r="L121" s="307">
        <v>0</v>
      </c>
      <c r="M121" s="307">
        <v>0</v>
      </c>
      <c r="N121" s="307">
        <v>0</v>
      </c>
      <c r="O121" s="306">
        <v>0</v>
      </c>
      <c r="P121" s="306">
        <v>0</v>
      </c>
      <c r="Q121" s="307">
        <v>0</v>
      </c>
      <c r="R121" s="306">
        <v>0</v>
      </c>
      <c r="S121" s="306">
        <v>0</v>
      </c>
      <c r="T121" s="308">
        <v>0</v>
      </c>
    </row>
    <row r="122" spans="1:20">
      <c r="A122" s="294"/>
      <c r="B122" s="30" t="s">
        <v>644</v>
      </c>
      <c r="C122" s="306">
        <v>0</v>
      </c>
      <c r="D122" s="307"/>
      <c r="E122" s="307"/>
      <c r="F122" s="307"/>
      <c r="G122" s="307"/>
      <c r="H122" s="307"/>
      <c r="I122" s="307"/>
      <c r="J122" s="306">
        <v>0</v>
      </c>
      <c r="K122" s="306"/>
      <c r="L122" s="307"/>
      <c r="M122" s="307"/>
      <c r="N122" s="307"/>
      <c r="O122" s="306"/>
      <c r="P122" s="306"/>
      <c r="Q122" s="307"/>
      <c r="R122" s="306"/>
      <c r="S122" s="306"/>
      <c r="T122" s="308"/>
    </row>
    <row r="123" spans="1:20">
      <c r="A123" s="294"/>
      <c r="B123" s="30" t="s">
        <v>648</v>
      </c>
      <c r="C123" s="306">
        <v>0</v>
      </c>
      <c r="D123" s="307"/>
      <c r="E123" s="307"/>
      <c r="F123" s="307"/>
      <c r="G123" s="307"/>
      <c r="H123" s="307"/>
      <c r="I123" s="307"/>
      <c r="J123" s="306">
        <v>0</v>
      </c>
      <c r="K123" s="306"/>
      <c r="L123" s="307"/>
      <c r="M123" s="307"/>
      <c r="N123" s="307"/>
      <c r="O123" s="306"/>
      <c r="P123" s="306"/>
      <c r="Q123" s="307"/>
      <c r="R123" s="306"/>
      <c r="S123" s="306"/>
      <c r="T123" s="308"/>
    </row>
    <row r="124" spans="1:20">
      <c r="A124" s="294"/>
      <c r="B124" s="30" t="s">
        <v>645</v>
      </c>
      <c r="C124" s="306">
        <v>0</v>
      </c>
      <c r="D124" s="307">
        <v>0</v>
      </c>
      <c r="E124" s="307">
        <v>0</v>
      </c>
      <c r="F124" s="307">
        <v>0</v>
      </c>
      <c r="G124" s="307">
        <v>0</v>
      </c>
      <c r="H124" s="307">
        <v>0</v>
      </c>
      <c r="I124" s="307">
        <v>0</v>
      </c>
      <c r="J124" s="306">
        <v>0</v>
      </c>
      <c r="K124" s="306">
        <v>0</v>
      </c>
      <c r="L124" s="307">
        <v>0</v>
      </c>
      <c r="M124" s="307">
        <v>0</v>
      </c>
      <c r="N124" s="307">
        <v>0</v>
      </c>
      <c r="O124" s="306">
        <v>0</v>
      </c>
      <c r="P124" s="306">
        <v>0</v>
      </c>
      <c r="Q124" s="307">
        <v>0</v>
      </c>
      <c r="R124" s="306">
        <v>0</v>
      </c>
      <c r="S124" s="306">
        <v>0</v>
      </c>
      <c r="T124" s="308">
        <v>0</v>
      </c>
    </row>
    <row r="125" spans="1:20">
      <c r="A125" s="294"/>
      <c r="B125" s="30" t="s">
        <v>649</v>
      </c>
      <c r="C125" s="306">
        <v>0</v>
      </c>
      <c r="D125" s="307">
        <v>0</v>
      </c>
      <c r="E125" s="307">
        <v>0</v>
      </c>
      <c r="F125" s="307">
        <v>0</v>
      </c>
      <c r="G125" s="307">
        <v>0</v>
      </c>
      <c r="H125" s="307">
        <v>0</v>
      </c>
      <c r="I125" s="307">
        <v>0</v>
      </c>
      <c r="J125" s="306">
        <v>0</v>
      </c>
      <c r="K125" s="306">
        <v>0</v>
      </c>
      <c r="L125" s="307">
        <v>0</v>
      </c>
      <c r="M125" s="307">
        <v>0</v>
      </c>
      <c r="N125" s="307">
        <v>0</v>
      </c>
      <c r="O125" s="306">
        <v>0</v>
      </c>
      <c r="P125" s="306">
        <v>0</v>
      </c>
      <c r="Q125" s="307">
        <v>0</v>
      </c>
      <c r="R125" s="306">
        <v>0</v>
      </c>
      <c r="S125" s="306">
        <v>0</v>
      </c>
      <c r="T125" s="308">
        <v>0</v>
      </c>
    </row>
    <row r="126" spans="1:20">
      <c r="A126" s="297" t="s">
        <v>543</v>
      </c>
      <c r="B126" s="264" t="s">
        <v>642</v>
      </c>
      <c r="C126" s="303">
        <v>636145</v>
      </c>
      <c r="D126" s="304"/>
      <c r="E126" s="304">
        <v>252632</v>
      </c>
      <c r="F126" s="304"/>
      <c r="G126" s="304">
        <v>113530</v>
      </c>
      <c r="H126" s="304">
        <v>445548</v>
      </c>
      <c r="I126" s="304"/>
      <c r="J126" s="303">
        <v>1447855</v>
      </c>
      <c r="K126" s="303">
        <v>120439</v>
      </c>
      <c r="L126" s="304"/>
      <c r="M126" s="304"/>
      <c r="N126" s="304">
        <v>355724</v>
      </c>
      <c r="O126" s="303">
        <v>476163</v>
      </c>
      <c r="P126" s="303"/>
      <c r="Q126" s="304"/>
      <c r="R126" s="303"/>
      <c r="S126" s="303"/>
      <c r="T126" s="305"/>
    </row>
    <row r="127" spans="1:20">
      <c r="A127" s="294"/>
      <c r="B127" s="286" t="s">
        <v>646</v>
      </c>
      <c r="C127" s="306">
        <v>643635</v>
      </c>
      <c r="D127" s="307"/>
      <c r="E127" s="307">
        <v>254769</v>
      </c>
      <c r="F127" s="307"/>
      <c r="G127" s="307">
        <v>115602</v>
      </c>
      <c r="H127" s="307">
        <v>462341</v>
      </c>
      <c r="I127" s="307"/>
      <c r="J127" s="306">
        <v>1476347</v>
      </c>
      <c r="K127" s="306">
        <v>134095</v>
      </c>
      <c r="L127" s="307"/>
      <c r="M127" s="307"/>
      <c r="N127" s="307">
        <v>392384</v>
      </c>
      <c r="O127" s="306">
        <v>526479</v>
      </c>
      <c r="P127" s="306"/>
      <c r="Q127" s="307"/>
      <c r="R127" s="306"/>
      <c r="S127" s="306"/>
      <c r="T127" s="308"/>
    </row>
    <row r="128" spans="1:20">
      <c r="A128" s="294"/>
      <c r="B128" s="286" t="s">
        <v>643</v>
      </c>
      <c r="C128" s="306">
        <v>31542</v>
      </c>
      <c r="D128" s="307">
        <v>0</v>
      </c>
      <c r="E128" s="307">
        <v>29896</v>
      </c>
      <c r="F128" s="307">
        <v>0</v>
      </c>
      <c r="G128" s="307">
        <v>11050</v>
      </c>
      <c r="H128" s="307">
        <v>23802</v>
      </c>
      <c r="I128" s="307">
        <v>0</v>
      </c>
      <c r="J128" s="306">
        <v>96290</v>
      </c>
      <c r="K128" s="306">
        <v>18270</v>
      </c>
      <c r="L128" s="307">
        <v>0</v>
      </c>
      <c r="M128" s="307">
        <v>0</v>
      </c>
      <c r="N128" s="307">
        <v>42124</v>
      </c>
      <c r="O128" s="306">
        <v>60394</v>
      </c>
      <c r="P128" s="306">
        <v>0</v>
      </c>
      <c r="Q128" s="307">
        <v>0</v>
      </c>
      <c r="R128" s="306">
        <v>0</v>
      </c>
      <c r="S128" s="306">
        <v>0</v>
      </c>
      <c r="T128" s="308">
        <v>0</v>
      </c>
    </row>
    <row r="129" spans="1:20">
      <c r="A129" s="294"/>
      <c r="B129" s="286" t="s">
        <v>647</v>
      </c>
      <c r="C129" s="306">
        <v>38943</v>
      </c>
      <c r="D129" s="307">
        <v>0</v>
      </c>
      <c r="E129" s="307">
        <v>31400</v>
      </c>
      <c r="F129" s="307">
        <v>0</v>
      </c>
      <c r="G129" s="307">
        <v>13015</v>
      </c>
      <c r="H129" s="307">
        <v>31870</v>
      </c>
      <c r="I129" s="307">
        <v>0</v>
      </c>
      <c r="J129" s="306">
        <v>115228</v>
      </c>
      <c r="K129" s="306">
        <v>21874</v>
      </c>
      <c r="L129" s="307">
        <v>0</v>
      </c>
      <c r="M129" s="307">
        <v>0</v>
      </c>
      <c r="N129" s="307">
        <v>57459</v>
      </c>
      <c r="O129" s="306">
        <v>79333</v>
      </c>
      <c r="P129" s="306">
        <v>0</v>
      </c>
      <c r="Q129" s="307">
        <v>0</v>
      </c>
      <c r="R129" s="306">
        <v>0</v>
      </c>
      <c r="S129" s="306">
        <v>0</v>
      </c>
      <c r="T129" s="308">
        <v>0</v>
      </c>
    </row>
    <row r="130" spans="1:20">
      <c r="A130" s="294"/>
      <c r="B130" s="286" t="s">
        <v>644</v>
      </c>
      <c r="C130" s="306">
        <v>111195</v>
      </c>
      <c r="D130" s="307"/>
      <c r="E130" s="307">
        <v>56858</v>
      </c>
      <c r="F130" s="307"/>
      <c r="G130" s="307">
        <v>6242</v>
      </c>
      <c r="H130" s="307">
        <v>4660</v>
      </c>
      <c r="I130" s="307"/>
      <c r="J130" s="306">
        <v>178955</v>
      </c>
      <c r="K130" s="306">
        <v>0</v>
      </c>
      <c r="L130" s="307"/>
      <c r="M130" s="307"/>
      <c r="N130" s="307">
        <v>0</v>
      </c>
      <c r="O130" s="306">
        <v>0</v>
      </c>
      <c r="P130" s="306"/>
      <c r="Q130" s="307"/>
      <c r="R130" s="306"/>
      <c r="S130" s="306"/>
      <c r="T130" s="308"/>
    </row>
    <row r="131" spans="1:20">
      <c r="A131" s="294"/>
      <c r="B131" s="286" t="s">
        <v>648</v>
      </c>
      <c r="C131" s="306">
        <v>112343</v>
      </c>
      <c r="D131" s="307"/>
      <c r="E131" s="307">
        <v>55755</v>
      </c>
      <c r="F131" s="307"/>
      <c r="G131" s="307">
        <v>5478</v>
      </c>
      <c r="H131" s="307">
        <v>6754</v>
      </c>
      <c r="I131" s="307"/>
      <c r="J131" s="306">
        <v>180330</v>
      </c>
      <c r="K131" s="306">
        <v>0</v>
      </c>
      <c r="L131" s="307"/>
      <c r="M131" s="307"/>
      <c r="N131" s="307">
        <v>6</v>
      </c>
      <c r="O131" s="306">
        <v>6</v>
      </c>
      <c r="P131" s="306"/>
      <c r="Q131" s="307"/>
      <c r="R131" s="306"/>
      <c r="S131" s="306"/>
      <c r="T131" s="308"/>
    </row>
    <row r="132" spans="1:20">
      <c r="A132" s="294"/>
      <c r="B132" s="286" t="s">
        <v>645</v>
      </c>
      <c r="C132" s="306">
        <v>23396</v>
      </c>
      <c r="D132" s="307">
        <v>0</v>
      </c>
      <c r="E132" s="307">
        <v>13454</v>
      </c>
      <c r="F132" s="307">
        <v>0</v>
      </c>
      <c r="G132" s="307">
        <v>4802</v>
      </c>
      <c r="H132" s="307">
        <v>909</v>
      </c>
      <c r="I132" s="307">
        <v>0</v>
      </c>
      <c r="J132" s="306">
        <v>42561</v>
      </c>
      <c r="K132" s="306">
        <v>0</v>
      </c>
      <c r="L132" s="307">
        <v>0</v>
      </c>
      <c r="M132" s="307">
        <v>0</v>
      </c>
      <c r="N132" s="307">
        <v>0</v>
      </c>
      <c r="O132" s="306">
        <v>0</v>
      </c>
      <c r="P132" s="306">
        <v>0</v>
      </c>
      <c r="Q132" s="307">
        <v>0</v>
      </c>
      <c r="R132" s="306">
        <v>0</v>
      </c>
      <c r="S132" s="306">
        <v>0</v>
      </c>
      <c r="T132" s="308">
        <v>0</v>
      </c>
    </row>
    <row r="133" spans="1:20">
      <c r="A133" s="300"/>
      <c r="B133" s="302" t="s">
        <v>649</v>
      </c>
      <c r="C133" s="316">
        <v>26455</v>
      </c>
      <c r="D133" s="317">
        <v>0</v>
      </c>
      <c r="E133" s="317">
        <v>12956</v>
      </c>
      <c r="F133" s="317">
        <v>0</v>
      </c>
      <c r="G133" s="317">
        <v>4028</v>
      </c>
      <c r="H133" s="317">
        <v>1557</v>
      </c>
      <c r="I133" s="317">
        <v>0</v>
      </c>
      <c r="J133" s="316">
        <v>44996</v>
      </c>
      <c r="K133" s="316">
        <v>0</v>
      </c>
      <c r="L133" s="317">
        <v>0</v>
      </c>
      <c r="M133" s="317">
        <v>0</v>
      </c>
      <c r="N133" s="317">
        <v>0</v>
      </c>
      <c r="O133" s="316">
        <v>0</v>
      </c>
      <c r="P133" s="316">
        <v>0</v>
      </c>
      <c r="Q133" s="317">
        <v>0</v>
      </c>
      <c r="R133" s="316">
        <v>0</v>
      </c>
      <c r="S133" s="316">
        <v>0</v>
      </c>
      <c r="T133" s="318">
        <v>0</v>
      </c>
    </row>
    <row r="134" spans="1:20">
      <c r="A134"/>
      <c r="B134"/>
      <c r="C134"/>
      <c r="D134"/>
      <c r="E134"/>
      <c r="F134"/>
      <c r="G134"/>
      <c r="H134"/>
      <c r="I134"/>
      <c r="J134"/>
      <c r="K134"/>
      <c r="L134"/>
      <c r="M134"/>
      <c r="N134"/>
      <c r="O134"/>
      <c r="P134"/>
      <c r="Q134"/>
      <c r="R134"/>
      <c r="S134"/>
    </row>
    <row r="135" spans="1:20">
      <c r="A135"/>
      <c r="B135"/>
      <c r="C135"/>
      <c r="D135"/>
      <c r="E135"/>
      <c r="F135"/>
      <c r="G135"/>
      <c r="H135"/>
      <c r="I135"/>
      <c r="J135"/>
      <c r="K135"/>
      <c r="L135"/>
      <c r="M135"/>
      <c r="N135"/>
      <c r="O135"/>
      <c r="P135"/>
      <c r="Q135"/>
      <c r="R135"/>
      <c r="S135"/>
    </row>
    <row r="136" spans="1:20">
      <c r="A136"/>
      <c r="B136"/>
      <c r="C136"/>
      <c r="D136"/>
      <c r="E136"/>
      <c r="F136"/>
      <c r="G136"/>
      <c r="H136"/>
      <c r="I136"/>
      <c r="J136"/>
      <c r="K136"/>
      <c r="L136"/>
      <c r="M136"/>
      <c r="N136"/>
      <c r="O136"/>
      <c r="P136"/>
      <c r="Q136"/>
      <c r="R136"/>
      <c r="S136"/>
    </row>
    <row r="137" spans="1:20">
      <c r="A137"/>
      <c r="B137"/>
      <c r="C137"/>
      <c r="D137"/>
      <c r="E137"/>
      <c r="F137"/>
      <c r="G137"/>
      <c r="H137"/>
      <c r="I137"/>
      <c r="J137"/>
      <c r="K137"/>
      <c r="L137"/>
      <c r="M137"/>
      <c r="N137"/>
      <c r="O137"/>
      <c r="P137"/>
      <c r="Q137"/>
      <c r="R137"/>
      <c r="S137"/>
    </row>
    <row r="138" spans="1:20">
      <c r="A138"/>
      <c r="B138"/>
      <c r="C138"/>
      <c r="D138"/>
      <c r="E138"/>
      <c r="F138"/>
      <c r="G138"/>
      <c r="H138"/>
      <c r="I138"/>
      <c r="J138"/>
      <c r="K138"/>
      <c r="L138"/>
      <c r="M138"/>
      <c r="N138"/>
      <c r="O138"/>
      <c r="P138"/>
      <c r="Q138"/>
      <c r="R138"/>
      <c r="S138"/>
    </row>
    <row r="139" spans="1:20">
      <c r="A139"/>
      <c r="B139"/>
      <c r="C139"/>
      <c r="D139"/>
      <c r="E139"/>
      <c r="F139"/>
      <c r="G139"/>
      <c r="H139"/>
      <c r="I139"/>
      <c r="J139"/>
      <c r="K139"/>
      <c r="L139"/>
      <c r="M139"/>
      <c r="N139"/>
      <c r="O139"/>
      <c r="P139"/>
      <c r="Q139"/>
      <c r="R139"/>
      <c r="S139"/>
    </row>
    <row r="140" spans="1:20">
      <c r="A140"/>
      <c r="B140"/>
      <c r="C140"/>
      <c r="D140"/>
      <c r="E140"/>
      <c r="F140"/>
      <c r="G140"/>
      <c r="H140"/>
      <c r="I140"/>
      <c r="J140"/>
      <c r="K140"/>
      <c r="L140"/>
      <c r="M140"/>
      <c r="N140"/>
      <c r="O140"/>
      <c r="P140"/>
      <c r="Q140"/>
      <c r="R140"/>
      <c r="S140"/>
    </row>
    <row r="141" spans="1:20">
      <c r="A141"/>
      <c r="B141"/>
      <c r="C141"/>
      <c r="D141"/>
      <c r="E141"/>
      <c r="F141"/>
      <c r="G141"/>
      <c r="H141"/>
      <c r="I141"/>
      <c r="J141"/>
      <c r="K141"/>
      <c r="L141"/>
      <c r="M141"/>
      <c r="N141"/>
      <c r="O141"/>
      <c r="P141"/>
      <c r="Q141"/>
      <c r="R141"/>
      <c r="S141"/>
    </row>
    <row r="142" spans="1:20">
      <c r="A142"/>
      <c r="B142"/>
      <c r="C142"/>
      <c r="D142"/>
      <c r="E142"/>
      <c r="F142"/>
      <c r="G142"/>
      <c r="H142"/>
      <c r="I142"/>
      <c r="J142"/>
      <c r="K142"/>
      <c r="L142"/>
      <c r="M142"/>
      <c r="N142"/>
      <c r="O142"/>
      <c r="P142"/>
      <c r="Q142"/>
      <c r="R142"/>
      <c r="S142"/>
    </row>
    <row r="143" spans="1:20">
      <c r="A143"/>
      <c r="B143"/>
      <c r="C143"/>
      <c r="D143"/>
      <c r="E143"/>
      <c r="F143"/>
      <c r="G143"/>
      <c r="H143"/>
      <c r="I143"/>
      <c r="J143"/>
      <c r="K143"/>
      <c r="L143"/>
      <c r="M143"/>
      <c r="N143"/>
      <c r="O143"/>
      <c r="P143"/>
      <c r="Q143"/>
      <c r="R143"/>
      <c r="S143"/>
    </row>
    <row r="144" spans="1:20">
      <c r="A144"/>
      <c r="B144"/>
      <c r="C144"/>
      <c r="D144"/>
      <c r="E144"/>
      <c r="F144"/>
      <c r="G144"/>
      <c r="H144"/>
      <c r="I144"/>
      <c r="J144"/>
      <c r="K144"/>
      <c r="L144"/>
      <c r="M144"/>
      <c r="N144"/>
      <c r="O144"/>
      <c r="P144"/>
      <c r="Q144"/>
      <c r="R144"/>
      <c r="S144"/>
    </row>
    <row r="145" spans="1:19">
      <c r="A145"/>
      <c r="B145"/>
      <c r="C145"/>
      <c r="D145"/>
      <c r="E145"/>
      <c r="F145"/>
      <c r="G145"/>
      <c r="H145"/>
      <c r="I145"/>
      <c r="J145"/>
      <c r="K145"/>
      <c r="L145"/>
      <c r="M145"/>
      <c r="N145"/>
      <c r="O145"/>
      <c r="P145"/>
      <c r="Q145"/>
      <c r="R145"/>
      <c r="S145"/>
    </row>
    <row r="146" spans="1:19">
      <c r="A146"/>
      <c r="B146"/>
      <c r="C146"/>
      <c r="D146"/>
      <c r="E146"/>
      <c r="F146"/>
      <c r="G146"/>
      <c r="H146"/>
      <c r="I146"/>
      <c r="J146"/>
      <c r="K146"/>
      <c r="L146"/>
      <c r="M146"/>
      <c r="N146"/>
      <c r="O146"/>
      <c r="P146"/>
      <c r="Q146"/>
      <c r="R146"/>
      <c r="S146"/>
    </row>
    <row r="147" spans="1:19">
      <c r="A147"/>
      <c r="B147"/>
      <c r="C147"/>
      <c r="D147"/>
      <c r="E147"/>
      <c r="F147"/>
      <c r="G147"/>
      <c r="H147"/>
      <c r="I147"/>
      <c r="J147"/>
      <c r="K147"/>
      <c r="L147"/>
      <c r="M147"/>
      <c r="N147"/>
      <c r="O147"/>
      <c r="P147"/>
      <c r="Q147"/>
      <c r="R147"/>
      <c r="S147"/>
    </row>
    <row r="148" spans="1:19">
      <c r="A148"/>
      <c r="B148"/>
      <c r="C148"/>
      <c r="D148"/>
      <c r="E148"/>
      <c r="F148"/>
      <c r="G148"/>
      <c r="H148"/>
      <c r="I148"/>
      <c r="J148"/>
      <c r="K148"/>
      <c r="L148"/>
      <c r="M148"/>
      <c r="N148"/>
      <c r="O148"/>
      <c r="P148"/>
      <c r="Q148"/>
      <c r="R148"/>
      <c r="S148"/>
    </row>
    <row r="149" spans="1:19">
      <c r="A149"/>
      <c r="B149"/>
      <c r="C149"/>
      <c r="D149"/>
      <c r="E149"/>
      <c r="F149"/>
      <c r="G149"/>
      <c r="H149"/>
      <c r="I149"/>
      <c r="J149"/>
      <c r="K149"/>
      <c r="L149"/>
      <c r="M149"/>
      <c r="N149"/>
      <c r="O149"/>
      <c r="P149"/>
      <c r="Q149"/>
      <c r="R149"/>
      <c r="S149"/>
    </row>
    <row r="150" spans="1:19">
      <c r="A150"/>
      <c r="B150"/>
      <c r="C150"/>
      <c r="D150"/>
      <c r="E150"/>
      <c r="F150"/>
      <c r="G150"/>
      <c r="H150"/>
      <c r="I150"/>
      <c r="J150"/>
      <c r="K150"/>
      <c r="L150"/>
      <c r="M150"/>
      <c r="N150"/>
      <c r="O150"/>
      <c r="P150"/>
      <c r="Q150"/>
      <c r="R150"/>
      <c r="S150"/>
    </row>
    <row r="151" spans="1:19">
      <c r="A151"/>
      <c r="B151"/>
      <c r="C151"/>
      <c r="D151"/>
      <c r="E151"/>
      <c r="F151"/>
      <c r="G151"/>
      <c r="H151"/>
      <c r="I151"/>
      <c r="J151"/>
      <c r="K151"/>
      <c r="L151"/>
      <c r="M151"/>
      <c r="N151"/>
      <c r="O151"/>
      <c r="P151"/>
      <c r="Q151"/>
      <c r="R151"/>
      <c r="S151"/>
    </row>
    <row r="152" spans="1:19">
      <c r="A152"/>
      <c r="B152"/>
      <c r="C152"/>
      <c r="D152"/>
      <c r="E152"/>
      <c r="F152"/>
      <c r="G152"/>
      <c r="H152"/>
      <c r="I152"/>
      <c r="J152"/>
      <c r="K152"/>
      <c r="L152"/>
      <c r="M152"/>
      <c r="N152"/>
      <c r="O152"/>
      <c r="P152"/>
      <c r="Q152"/>
      <c r="R152"/>
      <c r="S152"/>
    </row>
    <row r="153" spans="1:19">
      <c r="A153"/>
      <c r="B153"/>
      <c r="C153"/>
      <c r="D153"/>
      <c r="E153"/>
      <c r="F153"/>
      <c r="G153"/>
      <c r="H153"/>
      <c r="I153"/>
      <c r="J153"/>
      <c r="K153"/>
      <c r="L153"/>
      <c r="M153"/>
      <c r="N153"/>
      <c r="O153"/>
      <c r="P153"/>
      <c r="Q153"/>
      <c r="R153"/>
      <c r="S153"/>
    </row>
    <row r="154" spans="1:19">
      <c r="A154"/>
      <c r="B154"/>
      <c r="C154"/>
      <c r="D154"/>
      <c r="E154"/>
      <c r="F154"/>
      <c r="G154"/>
      <c r="H154"/>
      <c r="I154"/>
      <c r="J154"/>
      <c r="K154"/>
      <c r="L154"/>
      <c r="M154"/>
      <c r="N154"/>
      <c r="O154"/>
      <c r="P154"/>
      <c r="Q154"/>
      <c r="R154"/>
      <c r="S154"/>
    </row>
    <row r="155" spans="1:19">
      <c r="A155"/>
      <c r="B155"/>
      <c r="C155"/>
      <c r="D155"/>
      <c r="E155"/>
      <c r="F155"/>
      <c r="G155"/>
      <c r="H155"/>
      <c r="I155"/>
      <c r="J155"/>
      <c r="K155"/>
      <c r="L155"/>
      <c r="M155"/>
      <c r="N155"/>
      <c r="O155"/>
      <c r="P155"/>
      <c r="Q155"/>
      <c r="R155"/>
      <c r="S155"/>
    </row>
    <row r="156" spans="1:19">
      <c r="A156"/>
      <c r="B156"/>
      <c r="C156"/>
      <c r="D156"/>
      <c r="E156"/>
      <c r="F156"/>
      <c r="G156"/>
      <c r="H156"/>
      <c r="I156"/>
      <c r="J156"/>
      <c r="K156"/>
      <c r="L156"/>
      <c r="M156"/>
      <c r="N156"/>
      <c r="O156"/>
      <c r="P156"/>
      <c r="Q156"/>
      <c r="R156"/>
      <c r="S156"/>
    </row>
    <row r="157" spans="1:19">
      <c r="A157"/>
      <c r="B157"/>
      <c r="C157"/>
      <c r="D157"/>
      <c r="E157"/>
      <c r="F157"/>
      <c r="G157"/>
      <c r="H157"/>
      <c r="I157"/>
      <c r="J157"/>
      <c r="K157"/>
      <c r="L157"/>
      <c r="M157"/>
      <c r="N157"/>
      <c r="O157"/>
      <c r="P157"/>
      <c r="Q157"/>
      <c r="R157"/>
      <c r="S157"/>
    </row>
    <row r="158" spans="1:19">
      <c r="A158"/>
      <c r="B158"/>
      <c r="C158"/>
      <c r="D158"/>
      <c r="E158"/>
      <c r="F158"/>
      <c r="G158"/>
      <c r="H158"/>
      <c r="I158"/>
      <c r="J158"/>
      <c r="K158"/>
      <c r="L158"/>
      <c r="M158"/>
      <c r="N158"/>
      <c r="O158"/>
      <c r="P158"/>
      <c r="Q158"/>
      <c r="R158"/>
      <c r="S158"/>
    </row>
    <row r="159" spans="1:19">
      <c r="A159"/>
      <c r="B159"/>
      <c r="C159"/>
      <c r="D159"/>
      <c r="E159"/>
      <c r="F159"/>
      <c r="G159"/>
      <c r="H159"/>
      <c r="I159"/>
      <c r="J159"/>
      <c r="K159"/>
      <c r="L159"/>
      <c r="M159"/>
      <c r="N159"/>
      <c r="O159"/>
      <c r="P159"/>
      <c r="Q159"/>
      <c r="R159"/>
      <c r="S159"/>
    </row>
    <row r="160" spans="1:19">
      <c r="A160"/>
      <c r="B160"/>
      <c r="C160"/>
      <c r="D160"/>
      <c r="E160"/>
      <c r="F160"/>
      <c r="G160"/>
      <c r="H160"/>
      <c r="I160"/>
      <c r="J160"/>
      <c r="K160"/>
      <c r="L160"/>
      <c r="M160"/>
      <c r="N160"/>
      <c r="O160"/>
      <c r="P160"/>
      <c r="Q160"/>
      <c r="R160"/>
      <c r="S160"/>
    </row>
    <row r="161" spans="1:19">
      <c r="A161"/>
      <c r="B161"/>
      <c r="C161"/>
      <c r="D161"/>
      <c r="E161"/>
      <c r="F161"/>
      <c r="G161"/>
      <c r="H161"/>
      <c r="I161"/>
      <c r="J161"/>
      <c r="K161"/>
      <c r="L161"/>
      <c r="M161"/>
      <c r="N161"/>
      <c r="O161"/>
      <c r="P161"/>
      <c r="Q161"/>
      <c r="R161"/>
      <c r="S161"/>
    </row>
    <row r="162" spans="1:19">
      <c r="A162"/>
      <c r="B162"/>
      <c r="C162"/>
      <c r="D162"/>
      <c r="E162"/>
      <c r="F162"/>
      <c r="G162"/>
      <c r="H162"/>
      <c r="I162"/>
      <c r="J162"/>
      <c r="K162"/>
      <c r="L162"/>
      <c r="M162"/>
      <c r="N162"/>
      <c r="O162"/>
      <c r="P162"/>
      <c r="Q162"/>
      <c r="R162"/>
      <c r="S162"/>
    </row>
    <row r="163" spans="1:19">
      <c r="A163"/>
      <c r="B163"/>
      <c r="C163"/>
      <c r="D163"/>
      <c r="E163"/>
      <c r="F163"/>
      <c r="G163"/>
      <c r="H163"/>
      <c r="I163"/>
      <c r="J163"/>
      <c r="K163"/>
      <c r="L163"/>
      <c r="M163"/>
      <c r="N163"/>
      <c r="O163"/>
      <c r="P163"/>
      <c r="Q163"/>
      <c r="R163"/>
      <c r="S163"/>
    </row>
    <row r="164" spans="1:19">
      <c r="A164"/>
      <c r="B164"/>
      <c r="C164"/>
      <c r="D164"/>
      <c r="E164"/>
      <c r="F164"/>
      <c r="G164"/>
      <c r="H164"/>
      <c r="I164"/>
      <c r="J164"/>
      <c r="K164"/>
      <c r="L164"/>
      <c r="M164"/>
      <c r="N164"/>
      <c r="O164"/>
      <c r="P164"/>
      <c r="Q164"/>
      <c r="R164"/>
      <c r="S164"/>
    </row>
    <row r="165" spans="1:19">
      <c r="A165"/>
      <c r="B165"/>
      <c r="C165"/>
      <c r="D165"/>
      <c r="E165"/>
      <c r="F165"/>
      <c r="G165"/>
      <c r="H165"/>
      <c r="I165"/>
      <c r="J165"/>
      <c r="K165"/>
      <c r="L165"/>
      <c r="M165"/>
      <c r="N165"/>
      <c r="O165"/>
      <c r="P165"/>
      <c r="Q165"/>
      <c r="R165"/>
      <c r="S165"/>
    </row>
    <row r="166" spans="1:19">
      <c r="A166"/>
      <c r="B166"/>
      <c r="C166"/>
      <c r="D166"/>
      <c r="E166"/>
      <c r="F166"/>
      <c r="G166"/>
      <c r="H166"/>
      <c r="I166"/>
      <c r="J166"/>
      <c r="K166"/>
      <c r="L166"/>
      <c r="M166"/>
      <c r="N166"/>
      <c r="O166"/>
      <c r="P166"/>
      <c r="Q166"/>
      <c r="R166"/>
      <c r="S166"/>
    </row>
    <row r="167" spans="1:19">
      <c r="A167"/>
      <c r="B167"/>
      <c r="C167"/>
      <c r="D167"/>
      <c r="E167"/>
      <c r="F167"/>
      <c r="G167"/>
      <c r="H167"/>
      <c r="I167"/>
      <c r="J167"/>
      <c r="K167"/>
      <c r="L167"/>
      <c r="M167"/>
      <c r="N167"/>
      <c r="O167"/>
      <c r="P167"/>
      <c r="Q167"/>
      <c r="R167"/>
      <c r="S167"/>
    </row>
    <row r="168" spans="1:19">
      <c r="A168"/>
      <c r="B168"/>
      <c r="C168"/>
      <c r="D168"/>
      <c r="E168"/>
      <c r="F168"/>
      <c r="G168"/>
      <c r="H168"/>
      <c r="I168"/>
      <c r="J168"/>
      <c r="K168"/>
      <c r="L168"/>
      <c r="M168"/>
      <c r="N168"/>
      <c r="O168"/>
      <c r="P168"/>
      <c r="Q168"/>
      <c r="R168"/>
      <c r="S168"/>
    </row>
    <row r="169" spans="1:19">
      <c r="A169"/>
      <c r="B169"/>
      <c r="C169"/>
      <c r="D169"/>
      <c r="E169"/>
      <c r="F169"/>
      <c r="G169"/>
      <c r="H169"/>
      <c r="I169"/>
      <c r="J169"/>
      <c r="K169"/>
      <c r="L169"/>
      <c r="M169"/>
      <c r="N169"/>
      <c r="O169"/>
      <c r="P169"/>
      <c r="Q169"/>
      <c r="R169"/>
      <c r="S169"/>
    </row>
    <row r="170" spans="1:19">
      <c r="A170"/>
      <c r="B170"/>
      <c r="C170"/>
      <c r="D170"/>
      <c r="E170"/>
      <c r="F170"/>
      <c r="G170"/>
      <c r="H170"/>
      <c r="I170"/>
      <c r="J170"/>
      <c r="K170"/>
      <c r="L170"/>
      <c r="M170"/>
      <c r="N170"/>
      <c r="O170"/>
      <c r="P170"/>
      <c r="Q170"/>
      <c r="R170"/>
      <c r="S170"/>
    </row>
    <row r="171" spans="1:19">
      <c r="A171"/>
      <c r="B171"/>
      <c r="C171"/>
      <c r="D171"/>
      <c r="E171"/>
      <c r="F171"/>
      <c r="G171"/>
      <c r="H171"/>
      <c r="I171"/>
      <c r="J171"/>
      <c r="K171"/>
      <c r="L171"/>
      <c r="M171"/>
      <c r="N171"/>
      <c r="O171"/>
      <c r="P171"/>
      <c r="Q171"/>
      <c r="R171"/>
      <c r="S171"/>
    </row>
    <row r="172" spans="1:19">
      <c r="A172"/>
      <c r="B172"/>
      <c r="C172"/>
      <c r="D172"/>
      <c r="E172"/>
      <c r="F172"/>
      <c r="G172"/>
      <c r="H172"/>
      <c r="I172"/>
      <c r="J172"/>
      <c r="K172"/>
      <c r="L172"/>
      <c r="M172"/>
      <c r="N172"/>
      <c r="O172"/>
      <c r="P172"/>
      <c r="Q172"/>
      <c r="R172"/>
      <c r="S172"/>
    </row>
    <row r="173" spans="1:19">
      <c r="A173"/>
      <c r="B173"/>
      <c r="C173"/>
      <c r="D173"/>
      <c r="E173"/>
      <c r="F173"/>
      <c r="G173"/>
      <c r="H173"/>
      <c r="I173"/>
      <c r="J173"/>
      <c r="K173"/>
      <c r="L173"/>
      <c r="M173"/>
      <c r="N173"/>
      <c r="O173"/>
      <c r="P173"/>
      <c r="Q173"/>
      <c r="R173"/>
      <c r="S173"/>
    </row>
    <row r="174" spans="1:19">
      <c r="A174"/>
      <c r="B174"/>
      <c r="C174"/>
      <c r="D174"/>
      <c r="E174"/>
      <c r="F174"/>
      <c r="G174"/>
      <c r="H174"/>
      <c r="I174"/>
      <c r="J174"/>
      <c r="K174"/>
      <c r="L174"/>
      <c r="M174"/>
      <c r="N174"/>
      <c r="O174"/>
      <c r="P174"/>
      <c r="Q174"/>
      <c r="R174"/>
      <c r="S174"/>
    </row>
    <row r="175" spans="1:19">
      <c r="A175"/>
      <c r="B175"/>
      <c r="C175"/>
      <c r="D175"/>
      <c r="E175"/>
      <c r="F175"/>
      <c r="G175"/>
      <c r="H175"/>
      <c r="I175"/>
      <c r="J175"/>
      <c r="K175"/>
      <c r="L175"/>
      <c r="M175"/>
      <c r="N175"/>
      <c r="O175"/>
      <c r="P175"/>
      <c r="Q175"/>
      <c r="R175"/>
      <c r="S175"/>
    </row>
    <row r="176" spans="1:19">
      <c r="A176"/>
      <c r="B176"/>
      <c r="C176"/>
      <c r="D176"/>
      <c r="E176"/>
      <c r="F176"/>
      <c r="G176"/>
      <c r="H176"/>
      <c r="I176"/>
      <c r="J176"/>
      <c r="K176"/>
      <c r="L176"/>
      <c r="M176"/>
      <c r="N176"/>
      <c r="O176"/>
      <c r="P176"/>
      <c r="Q176"/>
      <c r="R176"/>
      <c r="S176"/>
    </row>
    <row r="177" spans="1:19">
      <c r="A177"/>
      <c r="B177"/>
      <c r="C177"/>
      <c r="D177"/>
      <c r="E177"/>
      <c r="F177"/>
      <c r="G177"/>
      <c r="H177"/>
      <c r="I177"/>
      <c r="J177"/>
      <c r="K177"/>
      <c r="L177"/>
      <c r="M177"/>
      <c r="N177"/>
      <c r="O177"/>
      <c r="P177"/>
      <c r="Q177"/>
      <c r="R177"/>
      <c r="S177"/>
    </row>
    <row r="178" spans="1:19">
      <c r="A178"/>
      <c r="B178"/>
      <c r="C178"/>
      <c r="D178"/>
      <c r="E178"/>
      <c r="F178"/>
      <c r="G178"/>
      <c r="H178"/>
      <c r="I178"/>
      <c r="J178"/>
      <c r="K178"/>
      <c r="L178"/>
      <c r="M178"/>
      <c r="N178"/>
      <c r="O178"/>
      <c r="P178"/>
      <c r="Q178"/>
      <c r="R178"/>
      <c r="S178"/>
    </row>
    <row r="179" spans="1:19">
      <c r="A179"/>
      <c r="B179"/>
      <c r="C179"/>
      <c r="D179"/>
      <c r="E179"/>
      <c r="F179"/>
      <c r="G179"/>
      <c r="H179"/>
      <c r="I179"/>
      <c r="J179"/>
      <c r="K179"/>
      <c r="L179"/>
      <c r="M179"/>
      <c r="N179"/>
      <c r="O179"/>
      <c r="P179"/>
      <c r="Q179"/>
      <c r="R179"/>
      <c r="S179"/>
    </row>
    <row r="180" spans="1:19">
      <c r="A180"/>
      <c r="B180"/>
      <c r="C180"/>
      <c r="D180"/>
      <c r="E180"/>
      <c r="F180"/>
      <c r="G180"/>
      <c r="H180"/>
      <c r="I180"/>
      <c r="J180"/>
      <c r="K180"/>
      <c r="L180"/>
      <c r="M180"/>
      <c r="N180"/>
      <c r="O180"/>
      <c r="P180"/>
      <c r="Q180"/>
      <c r="R180"/>
      <c r="S180"/>
    </row>
    <row r="181" spans="1:19">
      <c r="A181"/>
      <c r="B181"/>
      <c r="C181"/>
      <c r="D181"/>
      <c r="E181"/>
      <c r="F181"/>
      <c r="G181"/>
      <c r="H181"/>
      <c r="I181"/>
      <c r="J181"/>
      <c r="K181"/>
      <c r="L181"/>
      <c r="M181"/>
      <c r="N181"/>
      <c r="O181"/>
      <c r="P181"/>
      <c r="Q181"/>
      <c r="R181"/>
      <c r="S181"/>
    </row>
    <row r="182" spans="1:19">
      <c r="A182"/>
      <c r="B182"/>
      <c r="C182"/>
      <c r="D182"/>
      <c r="E182"/>
      <c r="F182"/>
      <c r="G182"/>
      <c r="H182"/>
      <c r="I182"/>
      <c r="J182"/>
      <c r="K182"/>
      <c r="L182"/>
      <c r="M182"/>
      <c r="N182"/>
      <c r="O182"/>
      <c r="P182"/>
      <c r="Q182"/>
      <c r="R182"/>
      <c r="S182"/>
    </row>
    <row r="183" spans="1:19">
      <c r="A183"/>
      <c r="B183"/>
      <c r="C183"/>
      <c r="D183"/>
      <c r="E183"/>
      <c r="F183"/>
      <c r="G183"/>
      <c r="H183"/>
      <c r="I183"/>
      <c r="J183"/>
      <c r="K183"/>
      <c r="L183"/>
      <c r="M183"/>
      <c r="N183"/>
      <c r="O183"/>
      <c r="P183"/>
      <c r="Q183"/>
      <c r="R183"/>
      <c r="S183"/>
    </row>
    <row r="184" spans="1:19">
      <c r="A184"/>
      <c r="B184"/>
      <c r="C184"/>
      <c r="D184"/>
      <c r="E184"/>
      <c r="F184"/>
      <c r="G184"/>
      <c r="H184"/>
      <c r="I184"/>
      <c r="J184"/>
      <c r="K184"/>
      <c r="L184"/>
      <c r="M184"/>
      <c r="N184"/>
      <c r="O184"/>
      <c r="P184"/>
      <c r="Q184"/>
      <c r="R184"/>
      <c r="S184"/>
    </row>
    <row r="185" spans="1:19">
      <c r="A185"/>
      <c r="B185"/>
      <c r="C185"/>
      <c r="D185"/>
      <c r="E185"/>
      <c r="F185"/>
      <c r="G185"/>
      <c r="H185"/>
      <c r="I185"/>
      <c r="J185"/>
      <c r="K185"/>
      <c r="L185"/>
      <c r="M185"/>
      <c r="N185"/>
      <c r="O185"/>
      <c r="P185"/>
      <c r="Q185"/>
      <c r="R185"/>
      <c r="S185"/>
    </row>
    <row r="186" spans="1:19">
      <c r="A186"/>
      <c r="B186"/>
      <c r="C186"/>
      <c r="D186"/>
      <c r="E186"/>
      <c r="F186"/>
      <c r="G186"/>
      <c r="H186"/>
      <c r="I186"/>
      <c r="J186"/>
      <c r="K186"/>
      <c r="L186"/>
      <c r="M186"/>
      <c r="N186"/>
      <c r="O186"/>
      <c r="P186"/>
      <c r="Q186"/>
      <c r="R186"/>
      <c r="S186"/>
    </row>
    <row r="187" spans="1:19">
      <c r="A187"/>
      <c r="B187"/>
      <c r="C187"/>
      <c r="D187"/>
      <c r="E187"/>
      <c r="F187"/>
      <c r="G187"/>
      <c r="H187"/>
      <c r="I187"/>
      <c r="J187"/>
      <c r="K187"/>
      <c r="L187"/>
      <c r="M187"/>
      <c r="N187"/>
      <c r="O187"/>
      <c r="P187"/>
      <c r="Q187"/>
      <c r="R187"/>
      <c r="S187"/>
    </row>
    <row r="188" spans="1:19">
      <c r="A188"/>
      <c r="B188"/>
      <c r="C188"/>
      <c r="D188"/>
      <c r="E188"/>
      <c r="F188"/>
      <c r="G188"/>
      <c r="H188"/>
      <c r="I188"/>
      <c r="J188"/>
      <c r="K188"/>
      <c r="L188"/>
      <c r="M188"/>
      <c r="N188"/>
      <c r="O188"/>
      <c r="P188"/>
      <c r="Q188"/>
      <c r="R188"/>
      <c r="S188"/>
    </row>
    <row r="189" spans="1:19">
      <c r="A189"/>
      <c r="B189"/>
      <c r="C189"/>
      <c r="D189"/>
      <c r="E189"/>
      <c r="F189"/>
      <c r="G189"/>
      <c r="H189"/>
      <c r="I189"/>
      <c r="J189"/>
      <c r="K189"/>
      <c r="L189"/>
      <c r="M189"/>
      <c r="N189"/>
      <c r="O189"/>
      <c r="P189"/>
      <c r="Q189"/>
      <c r="R189"/>
      <c r="S189"/>
    </row>
    <row r="190" spans="1:19">
      <c r="A190"/>
      <c r="B190"/>
      <c r="C190"/>
      <c r="D190"/>
      <c r="E190"/>
      <c r="F190"/>
      <c r="G190"/>
      <c r="H190"/>
      <c r="I190"/>
      <c r="J190"/>
      <c r="K190"/>
      <c r="L190"/>
      <c r="M190"/>
      <c r="N190"/>
      <c r="O190"/>
      <c r="P190"/>
      <c r="Q190"/>
      <c r="R190"/>
      <c r="S190"/>
    </row>
    <row r="191" spans="1:19">
      <c r="A191"/>
      <c r="B191"/>
      <c r="C191"/>
      <c r="D191"/>
      <c r="E191"/>
      <c r="F191"/>
      <c r="G191"/>
      <c r="H191"/>
      <c r="I191"/>
      <c r="J191"/>
      <c r="K191"/>
      <c r="L191"/>
      <c r="M191"/>
      <c r="N191"/>
      <c r="O191"/>
      <c r="P191"/>
      <c r="Q191"/>
      <c r="R191"/>
      <c r="S191"/>
    </row>
    <row r="192" spans="1:19">
      <c r="A192"/>
      <c r="B192"/>
      <c r="C192"/>
      <c r="D192"/>
      <c r="E192"/>
      <c r="F192"/>
      <c r="G192"/>
      <c r="H192"/>
      <c r="I192"/>
      <c r="J192"/>
      <c r="K192"/>
      <c r="L192"/>
      <c r="M192"/>
      <c r="N192"/>
      <c r="O192"/>
      <c r="P192"/>
      <c r="Q192"/>
      <c r="R192"/>
      <c r="S192"/>
    </row>
    <row r="193" spans="1:19">
      <c r="A193"/>
      <c r="B193"/>
      <c r="C193"/>
      <c r="D193"/>
      <c r="E193"/>
      <c r="F193"/>
      <c r="G193"/>
      <c r="H193"/>
      <c r="I193"/>
      <c r="J193"/>
      <c r="K193"/>
      <c r="L193"/>
      <c r="M193"/>
      <c r="N193"/>
      <c r="O193"/>
      <c r="P193"/>
      <c r="Q193"/>
      <c r="R193"/>
      <c r="S193"/>
    </row>
    <row r="194" spans="1:19">
      <c r="A194"/>
      <c r="B194"/>
      <c r="C194"/>
      <c r="D194"/>
      <c r="E194"/>
      <c r="F194"/>
      <c r="G194"/>
      <c r="H194"/>
      <c r="I194"/>
      <c r="J194"/>
      <c r="K194"/>
      <c r="L194"/>
      <c r="M194"/>
      <c r="N194"/>
      <c r="O194"/>
      <c r="P194"/>
      <c r="Q194"/>
      <c r="R194"/>
      <c r="S194"/>
    </row>
    <row r="195" spans="1:19">
      <c r="A195"/>
      <c r="B195"/>
      <c r="C195"/>
      <c r="D195"/>
      <c r="E195"/>
      <c r="F195"/>
      <c r="G195"/>
      <c r="H195"/>
      <c r="I195"/>
      <c r="J195"/>
      <c r="K195"/>
      <c r="L195"/>
      <c r="M195"/>
      <c r="N195"/>
      <c r="O195"/>
      <c r="P195"/>
      <c r="Q195"/>
      <c r="R195"/>
      <c r="S195"/>
    </row>
    <row r="196" spans="1:19">
      <c r="A196"/>
      <c r="B196"/>
      <c r="C196"/>
      <c r="D196"/>
      <c r="E196"/>
      <c r="F196"/>
      <c r="G196"/>
      <c r="H196"/>
      <c r="I196"/>
      <c r="J196"/>
      <c r="K196"/>
      <c r="L196"/>
      <c r="M196"/>
      <c r="N196"/>
      <c r="O196"/>
      <c r="P196"/>
      <c r="Q196"/>
      <c r="R196"/>
      <c r="S196"/>
    </row>
    <row r="197" spans="1:19">
      <c r="A197"/>
      <c r="B197"/>
      <c r="C197"/>
      <c r="D197"/>
      <c r="E197"/>
      <c r="F197"/>
      <c r="G197"/>
      <c r="H197"/>
      <c r="I197"/>
      <c r="J197"/>
      <c r="K197"/>
      <c r="L197"/>
      <c r="M197"/>
      <c r="N197"/>
      <c r="O197"/>
      <c r="P197"/>
      <c r="Q197"/>
      <c r="R197"/>
      <c r="S197"/>
    </row>
    <row r="198" spans="1:19">
      <c r="A198"/>
      <c r="B198"/>
      <c r="C198"/>
      <c r="D198"/>
      <c r="E198"/>
      <c r="F198"/>
      <c r="G198"/>
      <c r="H198"/>
      <c r="I198"/>
      <c r="J198"/>
      <c r="K198"/>
      <c r="L198"/>
      <c r="M198"/>
      <c r="N198"/>
      <c r="O198"/>
      <c r="P198"/>
      <c r="Q198"/>
      <c r="R198"/>
      <c r="S198"/>
    </row>
    <row r="199" spans="1:19">
      <c r="A199"/>
      <c r="B199"/>
      <c r="C199"/>
      <c r="D199"/>
      <c r="E199"/>
      <c r="F199"/>
      <c r="G199"/>
      <c r="H199"/>
      <c r="I199"/>
      <c r="J199"/>
      <c r="K199"/>
      <c r="L199"/>
      <c r="M199"/>
      <c r="N199"/>
      <c r="O199"/>
      <c r="P199"/>
      <c r="Q199"/>
      <c r="R199"/>
      <c r="S199"/>
    </row>
    <row r="200" spans="1:19">
      <c r="A200"/>
      <c r="B200"/>
      <c r="C200"/>
      <c r="D200"/>
      <c r="E200"/>
      <c r="F200"/>
      <c r="G200"/>
      <c r="H200"/>
      <c r="I200"/>
      <c r="J200"/>
      <c r="K200"/>
      <c r="L200"/>
      <c r="M200"/>
      <c r="N200"/>
      <c r="O200"/>
      <c r="P200"/>
      <c r="Q200"/>
      <c r="R200"/>
      <c r="S200"/>
    </row>
    <row r="201" spans="1:19">
      <c r="A201"/>
      <c r="B201"/>
      <c r="C201"/>
      <c r="D201"/>
      <c r="E201"/>
      <c r="F201"/>
      <c r="G201"/>
      <c r="H201"/>
      <c r="I201"/>
      <c r="J201"/>
      <c r="K201"/>
      <c r="L201"/>
      <c r="M201"/>
      <c r="N201"/>
      <c r="O201"/>
      <c r="P201"/>
      <c r="Q201"/>
      <c r="R201"/>
      <c r="S201"/>
    </row>
    <row r="202" spans="1:19">
      <c r="A202"/>
      <c r="B202"/>
      <c r="C202"/>
      <c r="D202"/>
      <c r="E202"/>
      <c r="F202"/>
      <c r="G202"/>
      <c r="H202"/>
      <c r="I202"/>
      <c r="J202"/>
      <c r="K202"/>
      <c r="L202"/>
      <c r="M202"/>
      <c r="N202"/>
      <c r="O202"/>
      <c r="P202"/>
      <c r="Q202"/>
      <c r="R202"/>
      <c r="S202"/>
    </row>
    <row r="203" spans="1:19">
      <c r="A203"/>
      <c r="B203"/>
      <c r="C203"/>
      <c r="D203"/>
      <c r="E203"/>
      <c r="F203"/>
      <c r="G203"/>
      <c r="H203"/>
      <c r="I203"/>
      <c r="J203"/>
      <c r="K203"/>
      <c r="L203"/>
      <c r="M203"/>
      <c r="N203"/>
      <c r="O203"/>
      <c r="P203"/>
      <c r="Q203"/>
      <c r="R203"/>
      <c r="S203"/>
    </row>
    <row r="204" spans="1:19">
      <c r="A204"/>
      <c r="B204"/>
      <c r="C204"/>
      <c r="D204"/>
      <c r="E204"/>
      <c r="F204"/>
      <c r="G204"/>
      <c r="H204"/>
      <c r="I204"/>
      <c r="J204"/>
      <c r="K204"/>
      <c r="L204"/>
      <c r="M204"/>
      <c r="N204"/>
      <c r="O204"/>
      <c r="P204"/>
      <c r="Q204"/>
      <c r="R204"/>
      <c r="S204"/>
    </row>
    <row r="205" spans="1:19">
      <c r="A205"/>
      <c r="B205"/>
      <c r="C205"/>
      <c r="D205"/>
      <c r="E205"/>
      <c r="F205"/>
      <c r="G205"/>
      <c r="H205"/>
      <c r="I205"/>
      <c r="J205"/>
      <c r="K205"/>
      <c r="L205"/>
      <c r="M205"/>
      <c r="N205"/>
      <c r="O205"/>
      <c r="P205"/>
      <c r="Q205"/>
      <c r="R205"/>
      <c r="S205"/>
    </row>
    <row r="206" spans="1:19">
      <c r="A206"/>
      <c r="B206"/>
      <c r="C206"/>
      <c r="D206"/>
      <c r="E206"/>
      <c r="F206"/>
      <c r="G206"/>
      <c r="H206"/>
      <c r="I206"/>
      <c r="J206"/>
      <c r="K206"/>
      <c r="L206"/>
      <c r="M206"/>
      <c r="N206"/>
      <c r="O206"/>
      <c r="P206"/>
      <c r="Q206"/>
      <c r="R206"/>
      <c r="S206"/>
    </row>
    <row r="207" spans="1:19">
      <c r="A207"/>
      <c r="B207"/>
      <c r="C207"/>
      <c r="D207"/>
      <c r="E207"/>
      <c r="F207"/>
      <c r="G207"/>
      <c r="H207"/>
      <c r="I207"/>
      <c r="J207"/>
      <c r="K207"/>
      <c r="L207"/>
      <c r="M207"/>
      <c r="N207"/>
      <c r="O207"/>
      <c r="P207"/>
      <c r="Q207"/>
      <c r="R207"/>
      <c r="S207"/>
    </row>
    <row r="208" spans="1:19">
      <c r="A208"/>
      <c r="B208"/>
      <c r="C208"/>
      <c r="D208"/>
      <c r="E208"/>
      <c r="F208"/>
      <c r="G208"/>
      <c r="H208"/>
      <c r="I208"/>
      <c r="J208"/>
      <c r="K208"/>
      <c r="L208"/>
      <c r="M208"/>
      <c r="N208"/>
      <c r="O208"/>
      <c r="P208"/>
      <c r="Q208"/>
      <c r="R208"/>
      <c r="S208"/>
    </row>
    <row r="209" spans="1:19">
      <c r="A209"/>
      <c r="B209"/>
      <c r="C209"/>
      <c r="D209"/>
      <c r="E209"/>
      <c r="F209"/>
      <c r="G209"/>
      <c r="H209"/>
      <c r="I209"/>
      <c r="J209"/>
      <c r="K209"/>
      <c r="L209"/>
      <c r="M209"/>
      <c r="N209"/>
      <c r="O209"/>
      <c r="P209"/>
      <c r="Q209"/>
      <c r="R209"/>
      <c r="S209"/>
    </row>
    <row r="210" spans="1:19">
      <c r="A210"/>
      <c r="B210"/>
      <c r="C210"/>
      <c r="D210"/>
      <c r="E210"/>
      <c r="F210"/>
      <c r="G210"/>
      <c r="H210"/>
      <c r="I210"/>
      <c r="J210"/>
      <c r="K210"/>
      <c r="L210"/>
      <c r="M210"/>
      <c r="N210"/>
      <c r="O210"/>
      <c r="P210"/>
      <c r="Q210"/>
      <c r="R210"/>
      <c r="S210"/>
    </row>
    <row r="211" spans="1:19">
      <c r="A211"/>
      <c r="B211"/>
      <c r="C211"/>
      <c r="D211"/>
      <c r="E211"/>
      <c r="F211"/>
      <c r="G211"/>
      <c r="H211"/>
      <c r="I211"/>
      <c r="J211"/>
      <c r="K211"/>
      <c r="L211"/>
      <c r="M211"/>
      <c r="N211"/>
      <c r="O211"/>
      <c r="P211"/>
      <c r="Q211"/>
      <c r="R211"/>
      <c r="S211"/>
    </row>
    <row r="212" spans="1:19">
      <c r="A212"/>
      <c r="B212"/>
      <c r="C212"/>
      <c r="D212"/>
      <c r="E212"/>
      <c r="F212"/>
      <c r="G212"/>
      <c r="H212"/>
      <c r="I212"/>
      <c r="J212"/>
      <c r="K212"/>
      <c r="L212"/>
      <c r="M212"/>
      <c r="N212"/>
      <c r="O212"/>
      <c r="P212"/>
      <c r="Q212"/>
      <c r="R212"/>
      <c r="S212"/>
    </row>
    <row r="213" spans="1:19">
      <c r="A213"/>
      <c r="B213"/>
      <c r="C213"/>
      <c r="D213"/>
      <c r="E213"/>
      <c r="F213"/>
      <c r="G213"/>
      <c r="H213"/>
      <c r="I213"/>
      <c r="J213"/>
      <c r="K213"/>
      <c r="L213"/>
      <c r="M213"/>
      <c r="N213"/>
      <c r="O213"/>
      <c r="P213"/>
      <c r="Q213"/>
      <c r="R213"/>
      <c r="S213"/>
    </row>
    <row r="214" spans="1:19">
      <c r="A214"/>
      <c r="B214"/>
      <c r="C214"/>
      <c r="D214"/>
      <c r="E214"/>
      <c r="F214"/>
      <c r="G214"/>
      <c r="H214"/>
      <c r="I214"/>
      <c r="J214"/>
      <c r="K214"/>
      <c r="L214"/>
      <c r="M214"/>
      <c r="N214"/>
      <c r="O214"/>
      <c r="P214"/>
      <c r="Q214"/>
      <c r="R214"/>
      <c r="S214"/>
    </row>
    <row r="215" spans="1:19">
      <c r="A215"/>
      <c r="B215"/>
      <c r="C215"/>
      <c r="D215"/>
      <c r="E215"/>
      <c r="F215"/>
      <c r="G215"/>
      <c r="H215"/>
      <c r="I215"/>
      <c r="J215"/>
      <c r="K215"/>
      <c r="L215"/>
      <c r="M215"/>
      <c r="N215"/>
      <c r="O215"/>
      <c r="P215"/>
      <c r="Q215"/>
      <c r="R215"/>
      <c r="S215"/>
    </row>
    <row r="216" spans="1:19">
      <c r="A216"/>
      <c r="B216"/>
      <c r="C216"/>
      <c r="D216"/>
      <c r="E216"/>
      <c r="F216"/>
      <c r="G216"/>
      <c r="H216"/>
      <c r="I216"/>
      <c r="J216"/>
      <c r="K216"/>
      <c r="L216"/>
      <c r="M216"/>
      <c r="N216"/>
      <c r="O216"/>
      <c r="P216"/>
      <c r="Q216"/>
      <c r="R216"/>
      <c r="S216"/>
    </row>
    <row r="217" spans="1:19">
      <c r="A217"/>
      <c r="B217"/>
      <c r="C217"/>
      <c r="D217"/>
      <c r="E217"/>
      <c r="F217"/>
      <c r="G217"/>
      <c r="H217"/>
      <c r="I217"/>
      <c r="J217"/>
      <c r="K217"/>
      <c r="L217"/>
      <c r="M217"/>
      <c r="N217"/>
      <c r="O217"/>
      <c r="P217"/>
      <c r="Q217"/>
      <c r="R217"/>
      <c r="S217"/>
    </row>
    <row r="218" spans="1:19">
      <c r="A218"/>
      <c r="B218"/>
      <c r="C218"/>
      <c r="D218"/>
      <c r="E218"/>
      <c r="F218"/>
      <c r="G218"/>
      <c r="H218"/>
      <c r="I218"/>
      <c r="J218"/>
      <c r="K218"/>
      <c r="L218"/>
      <c r="M218"/>
      <c r="N218"/>
      <c r="O218"/>
      <c r="P218"/>
      <c r="Q218"/>
      <c r="R218"/>
      <c r="S218"/>
    </row>
    <row r="219" spans="1:19">
      <c r="A219"/>
      <c r="B219"/>
      <c r="C219"/>
      <c r="D219"/>
      <c r="E219"/>
      <c r="F219"/>
      <c r="G219"/>
      <c r="H219"/>
      <c r="I219"/>
      <c r="J219"/>
      <c r="K219"/>
      <c r="L219"/>
      <c r="M219"/>
      <c r="N219"/>
      <c r="O219"/>
      <c r="P219"/>
      <c r="Q219"/>
      <c r="R219"/>
      <c r="S219"/>
    </row>
    <row r="220" spans="1:19">
      <c r="A220"/>
      <c r="B220"/>
      <c r="C220"/>
      <c r="D220"/>
      <c r="E220"/>
      <c r="F220"/>
      <c r="G220"/>
      <c r="H220"/>
      <c r="I220"/>
      <c r="J220"/>
      <c r="K220"/>
      <c r="L220"/>
      <c r="M220"/>
      <c r="N220"/>
      <c r="O220"/>
      <c r="P220"/>
      <c r="Q220"/>
      <c r="R220"/>
      <c r="S220"/>
    </row>
    <row r="221" spans="1:19">
      <c r="A221"/>
      <c r="B221"/>
      <c r="C221"/>
      <c r="D221"/>
      <c r="E221"/>
      <c r="F221"/>
      <c r="G221"/>
      <c r="H221"/>
      <c r="I221"/>
      <c r="J221"/>
      <c r="K221"/>
      <c r="L221"/>
      <c r="M221"/>
      <c r="N221"/>
      <c r="O221"/>
      <c r="P221"/>
      <c r="Q221"/>
      <c r="R221"/>
      <c r="S221"/>
    </row>
    <row r="222" spans="1:19">
      <c r="A222"/>
      <c r="B222"/>
      <c r="C222"/>
      <c r="D222"/>
      <c r="E222"/>
      <c r="F222"/>
      <c r="G222"/>
      <c r="H222"/>
      <c r="I222"/>
      <c r="J222"/>
      <c r="K222"/>
      <c r="L222"/>
      <c r="M222"/>
      <c r="N222"/>
      <c r="O222"/>
      <c r="P222"/>
      <c r="Q222"/>
      <c r="R222"/>
      <c r="S222"/>
    </row>
    <row r="223" spans="1:19">
      <c r="A223"/>
      <c r="B223"/>
      <c r="C223"/>
      <c r="D223"/>
      <c r="E223"/>
      <c r="F223"/>
      <c r="G223"/>
      <c r="H223"/>
      <c r="I223"/>
      <c r="J223"/>
      <c r="K223"/>
      <c r="L223"/>
      <c r="M223"/>
      <c r="N223"/>
      <c r="O223"/>
      <c r="P223"/>
      <c r="Q223"/>
      <c r="R223"/>
      <c r="S223"/>
    </row>
    <row r="224" spans="1:19">
      <c r="A224"/>
      <c r="B224"/>
      <c r="C224"/>
      <c r="D224"/>
      <c r="E224"/>
      <c r="F224"/>
      <c r="G224"/>
      <c r="H224"/>
      <c r="I224"/>
      <c r="J224"/>
      <c r="K224"/>
      <c r="L224"/>
      <c r="M224"/>
      <c r="N224"/>
      <c r="O224"/>
      <c r="P224"/>
      <c r="Q224"/>
      <c r="R224"/>
      <c r="S224"/>
    </row>
    <row r="225" spans="1:19">
      <c r="A225"/>
      <c r="B225"/>
      <c r="C225"/>
      <c r="D225"/>
      <c r="E225"/>
      <c r="F225"/>
      <c r="G225"/>
      <c r="H225"/>
      <c r="I225"/>
      <c r="J225"/>
      <c r="K225"/>
      <c r="L225"/>
      <c r="M225"/>
      <c r="N225"/>
      <c r="O225"/>
      <c r="P225"/>
      <c r="Q225"/>
      <c r="R225"/>
      <c r="S225"/>
    </row>
    <row r="226" spans="1:19">
      <c r="A226"/>
      <c r="B226"/>
      <c r="C226"/>
      <c r="D226"/>
      <c r="E226"/>
      <c r="F226"/>
      <c r="G226"/>
      <c r="H226"/>
      <c r="I226"/>
      <c r="J226"/>
      <c r="K226"/>
      <c r="L226"/>
      <c r="M226"/>
      <c r="N226"/>
      <c r="O226"/>
      <c r="P226"/>
      <c r="Q226"/>
      <c r="R226"/>
      <c r="S226"/>
    </row>
    <row r="227" spans="1:19">
      <c r="A227"/>
      <c r="B227"/>
      <c r="C227"/>
      <c r="D227"/>
      <c r="E227"/>
      <c r="F227"/>
      <c r="G227"/>
      <c r="H227"/>
      <c r="I227"/>
      <c r="J227"/>
      <c r="K227"/>
      <c r="L227"/>
      <c r="M227"/>
      <c r="N227"/>
      <c r="O227"/>
      <c r="P227"/>
      <c r="Q227"/>
      <c r="R227"/>
      <c r="S227"/>
    </row>
    <row r="228" spans="1:19">
      <c r="A228"/>
      <c r="B228"/>
      <c r="C228"/>
      <c r="D228"/>
      <c r="E228"/>
      <c r="F228"/>
      <c r="G228"/>
      <c r="H228"/>
      <c r="I228"/>
      <c r="J228"/>
      <c r="K228"/>
      <c r="L228"/>
      <c r="M228"/>
      <c r="N228"/>
      <c r="O228"/>
      <c r="P228"/>
      <c r="Q228"/>
      <c r="R228"/>
      <c r="S228"/>
    </row>
    <row r="229" spans="1:19">
      <c r="A229"/>
      <c r="B229"/>
      <c r="C229"/>
      <c r="D229"/>
      <c r="E229"/>
      <c r="F229"/>
      <c r="G229"/>
      <c r="H229"/>
      <c r="I229"/>
      <c r="J229"/>
      <c r="K229"/>
      <c r="L229"/>
      <c r="M229"/>
      <c r="N229"/>
      <c r="O229"/>
      <c r="P229"/>
      <c r="Q229"/>
      <c r="R229"/>
      <c r="S229"/>
    </row>
    <row r="230" spans="1:19">
      <c r="A230"/>
      <c r="B230"/>
      <c r="C230"/>
      <c r="D230"/>
      <c r="E230"/>
      <c r="F230"/>
      <c r="G230"/>
      <c r="H230"/>
      <c r="I230"/>
      <c r="J230"/>
      <c r="K230"/>
      <c r="L230"/>
      <c r="M230"/>
      <c r="N230"/>
      <c r="O230"/>
      <c r="P230"/>
      <c r="Q230"/>
      <c r="R230"/>
      <c r="S230"/>
    </row>
    <row r="231" spans="1:19">
      <c r="A231"/>
      <c r="B231"/>
      <c r="C231"/>
      <c r="D231"/>
      <c r="E231"/>
      <c r="F231"/>
      <c r="G231"/>
      <c r="H231"/>
      <c r="I231"/>
      <c r="J231"/>
      <c r="K231"/>
      <c r="L231"/>
      <c r="M231"/>
      <c r="N231"/>
      <c r="O231"/>
      <c r="P231"/>
      <c r="Q231"/>
      <c r="R231"/>
      <c r="S231"/>
    </row>
    <row r="232" spans="1:19">
      <c r="A232"/>
      <c r="B232"/>
      <c r="C232"/>
      <c r="D232"/>
      <c r="E232"/>
      <c r="F232"/>
      <c r="G232"/>
      <c r="H232"/>
      <c r="I232"/>
      <c r="J232"/>
      <c r="K232"/>
      <c r="L232"/>
      <c r="M232"/>
      <c r="N232"/>
      <c r="O232"/>
      <c r="P232"/>
      <c r="Q232"/>
      <c r="R232"/>
      <c r="S232"/>
    </row>
    <row r="233" spans="1:19">
      <c r="A233"/>
      <c r="B233"/>
      <c r="C233"/>
      <c r="D233"/>
      <c r="E233"/>
      <c r="F233"/>
      <c r="G233"/>
      <c r="H233"/>
      <c r="I233"/>
      <c r="J233"/>
      <c r="K233"/>
      <c r="L233"/>
      <c r="M233"/>
      <c r="N233"/>
      <c r="O233"/>
      <c r="P233"/>
      <c r="Q233"/>
      <c r="R233"/>
      <c r="S233"/>
    </row>
    <row r="234" spans="1:19">
      <c r="A234"/>
      <c r="B234"/>
      <c r="C234"/>
      <c r="D234"/>
      <c r="E234"/>
      <c r="F234"/>
      <c r="G234"/>
      <c r="H234"/>
      <c r="I234"/>
      <c r="J234"/>
      <c r="K234"/>
      <c r="L234"/>
      <c r="M234"/>
      <c r="N234"/>
      <c r="O234"/>
      <c r="P234"/>
      <c r="Q234"/>
      <c r="R234"/>
      <c r="S234"/>
    </row>
    <row r="235" spans="1:19">
      <c r="A235"/>
      <c r="B235"/>
      <c r="C235"/>
      <c r="D235"/>
      <c r="E235"/>
      <c r="F235"/>
      <c r="G235"/>
      <c r="H235"/>
      <c r="I235"/>
      <c r="J235"/>
      <c r="K235"/>
      <c r="L235"/>
      <c r="M235"/>
      <c r="N235"/>
      <c r="O235"/>
      <c r="P235"/>
      <c r="Q235"/>
      <c r="R235"/>
      <c r="S235"/>
    </row>
    <row r="236" spans="1:19">
      <c r="A236"/>
      <c r="B236"/>
      <c r="C236"/>
      <c r="D236"/>
      <c r="E236"/>
      <c r="F236"/>
      <c r="G236"/>
      <c r="H236"/>
      <c r="I236"/>
      <c r="J236"/>
      <c r="K236"/>
      <c r="L236"/>
      <c r="M236"/>
      <c r="N236"/>
      <c r="O236"/>
      <c r="P236"/>
      <c r="Q236"/>
      <c r="R236"/>
      <c r="S236"/>
    </row>
    <row r="237" spans="1:19">
      <c r="A237"/>
      <c r="B237"/>
      <c r="C237"/>
      <c r="D237"/>
      <c r="E237"/>
      <c r="F237"/>
      <c r="G237"/>
      <c r="H237"/>
      <c r="I237"/>
      <c r="J237"/>
      <c r="K237"/>
      <c r="L237"/>
      <c r="M237"/>
      <c r="N237"/>
      <c r="O237"/>
      <c r="P237"/>
      <c r="Q237"/>
      <c r="R237"/>
      <c r="S237"/>
    </row>
    <row r="238" spans="1:19">
      <c r="A238"/>
      <c r="B238"/>
      <c r="C238"/>
      <c r="D238"/>
      <c r="E238"/>
      <c r="F238"/>
      <c r="G238"/>
      <c r="H238"/>
      <c r="I238"/>
      <c r="J238"/>
      <c r="K238"/>
      <c r="L238"/>
      <c r="M238"/>
      <c r="N238"/>
      <c r="O238"/>
      <c r="P238"/>
      <c r="Q238"/>
      <c r="R238"/>
      <c r="S238"/>
    </row>
    <row r="239" spans="1:19">
      <c r="A239"/>
      <c r="B239"/>
      <c r="C239"/>
      <c r="D239"/>
      <c r="E239"/>
      <c r="F239"/>
      <c r="G239"/>
      <c r="H239"/>
      <c r="I239"/>
      <c r="J239"/>
      <c r="K239"/>
      <c r="L239"/>
      <c r="M239"/>
      <c r="N239"/>
      <c r="O239"/>
      <c r="P239"/>
      <c r="Q239"/>
      <c r="R239"/>
      <c r="S239"/>
    </row>
    <row r="240" spans="1:19">
      <c r="A240"/>
      <c r="B240"/>
      <c r="C240"/>
      <c r="D240"/>
      <c r="E240"/>
      <c r="F240"/>
      <c r="G240"/>
      <c r="H240"/>
      <c r="I240"/>
      <c r="J240"/>
      <c r="K240"/>
      <c r="L240"/>
      <c r="M240"/>
      <c r="N240"/>
      <c r="O240"/>
      <c r="P240"/>
      <c r="Q240"/>
      <c r="R240"/>
      <c r="S240"/>
    </row>
    <row r="241" spans="1:19">
      <c r="A241"/>
      <c r="B241"/>
      <c r="C241"/>
      <c r="D241"/>
      <c r="E241"/>
      <c r="F241"/>
      <c r="G241"/>
      <c r="H241"/>
      <c r="I241"/>
      <c r="J241"/>
      <c r="K241"/>
      <c r="L241"/>
      <c r="M241"/>
      <c r="N241"/>
      <c r="O241"/>
      <c r="P241"/>
      <c r="Q241"/>
      <c r="R241"/>
      <c r="S241"/>
    </row>
    <row r="242" spans="1:19">
      <c r="A242"/>
      <c r="B242"/>
      <c r="C242"/>
      <c r="D242"/>
      <c r="E242"/>
      <c r="F242"/>
      <c r="G242"/>
      <c r="H242"/>
      <c r="I242"/>
      <c r="J242"/>
      <c r="K242"/>
      <c r="L242"/>
      <c r="M242"/>
      <c r="N242"/>
      <c r="O242"/>
      <c r="P242"/>
      <c r="Q242"/>
      <c r="R242"/>
      <c r="S242"/>
    </row>
    <row r="243" spans="1:19">
      <c r="A243"/>
      <c r="B243"/>
      <c r="C243"/>
      <c r="D243"/>
      <c r="E243"/>
      <c r="F243"/>
      <c r="G243"/>
      <c r="H243"/>
      <c r="I243"/>
      <c r="J243"/>
      <c r="K243"/>
      <c r="L243"/>
      <c r="M243"/>
      <c r="N243"/>
      <c r="O243"/>
      <c r="P243"/>
      <c r="Q243"/>
      <c r="R243"/>
      <c r="S243"/>
    </row>
    <row r="244" spans="1:19">
      <c r="A244"/>
      <c r="B244"/>
      <c r="C244"/>
      <c r="D244"/>
      <c r="E244"/>
      <c r="F244"/>
      <c r="G244"/>
      <c r="H244"/>
      <c r="I244"/>
      <c r="J244"/>
      <c r="K244"/>
      <c r="L244"/>
      <c r="M244"/>
      <c r="N244"/>
      <c r="O244"/>
      <c r="P244"/>
      <c r="Q244"/>
      <c r="R244"/>
      <c r="S244"/>
    </row>
    <row r="245" spans="1:19">
      <c r="A245"/>
      <c r="B245"/>
      <c r="C245"/>
      <c r="D245"/>
      <c r="E245"/>
      <c r="F245"/>
      <c r="G245"/>
      <c r="H245"/>
      <c r="I245"/>
      <c r="J245"/>
      <c r="K245"/>
      <c r="L245"/>
      <c r="M245"/>
      <c r="N245"/>
      <c r="O245"/>
      <c r="P245"/>
      <c r="Q245"/>
      <c r="R245"/>
      <c r="S245"/>
    </row>
    <row r="246" spans="1:19">
      <c r="A246"/>
      <c r="B246"/>
      <c r="C246"/>
      <c r="D246"/>
      <c r="E246"/>
      <c r="F246"/>
      <c r="G246"/>
      <c r="H246"/>
      <c r="I246"/>
      <c r="J246"/>
      <c r="K246"/>
      <c r="L246"/>
      <c r="M246"/>
      <c r="N246"/>
      <c r="O246"/>
      <c r="P246"/>
      <c r="Q246"/>
      <c r="R246"/>
      <c r="S246"/>
    </row>
    <row r="247" spans="1:19">
      <c r="A247"/>
      <c r="B247"/>
      <c r="C247"/>
      <c r="D247"/>
      <c r="E247"/>
      <c r="F247"/>
      <c r="G247"/>
      <c r="H247"/>
      <c r="I247"/>
      <c r="J247"/>
      <c r="K247"/>
      <c r="L247"/>
      <c r="M247"/>
      <c r="N247"/>
      <c r="O247"/>
      <c r="P247"/>
      <c r="Q247"/>
      <c r="R247"/>
      <c r="S247"/>
    </row>
    <row r="248" spans="1:19">
      <c r="A248"/>
      <c r="B248"/>
      <c r="C248"/>
      <c r="D248"/>
      <c r="E248"/>
      <c r="F248"/>
      <c r="G248"/>
      <c r="H248"/>
      <c r="I248"/>
      <c r="J248"/>
      <c r="K248"/>
      <c r="L248"/>
      <c r="M248"/>
      <c r="N248"/>
      <c r="O248"/>
      <c r="P248"/>
      <c r="Q248"/>
      <c r="R248"/>
      <c r="S248"/>
    </row>
    <row r="249" spans="1:19">
      <c r="A249"/>
      <c r="B249"/>
      <c r="C249"/>
      <c r="D249"/>
      <c r="E249"/>
      <c r="F249"/>
      <c r="G249"/>
      <c r="H249"/>
      <c r="I249"/>
      <c r="J249"/>
      <c r="K249"/>
      <c r="L249"/>
      <c r="M249"/>
      <c r="N249"/>
      <c r="O249"/>
      <c r="P249"/>
      <c r="Q249"/>
      <c r="R249"/>
      <c r="S249"/>
    </row>
    <row r="250" spans="1:19">
      <c r="A250"/>
      <c r="B250"/>
      <c r="C250"/>
      <c r="D250"/>
      <c r="E250"/>
      <c r="F250"/>
      <c r="G250"/>
      <c r="H250"/>
      <c r="I250"/>
      <c r="J250"/>
      <c r="K250"/>
      <c r="L250"/>
      <c r="M250"/>
      <c r="N250"/>
      <c r="O250"/>
      <c r="P250"/>
      <c r="Q250"/>
      <c r="R250"/>
      <c r="S250"/>
    </row>
    <row r="251" spans="1:19">
      <c r="A251"/>
      <c r="B251"/>
      <c r="C251"/>
      <c r="D251"/>
      <c r="E251"/>
      <c r="F251"/>
      <c r="G251"/>
      <c r="H251"/>
      <c r="I251"/>
      <c r="J251"/>
      <c r="K251"/>
      <c r="L251"/>
      <c r="M251"/>
      <c r="N251"/>
      <c r="O251"/>
      <c r="P251"/>
      <c r="Q251"/>
      <c r="R251"/>
      <c r="S251"/>
    </row>
    <row r="252" spans="1:19">
      <c r="A252"/>
      <c r="B252"/>
      <c r="C252"/>
      <c r="D252"/>
      <c r="E252"/>
      <c r="F252"/>
      <c r="G252"/>
      <c r="H252"/>
      <c r="I252"/>
      <c r="J252"/>
      <c r="K252"/>
      <c r="L252"/>
      <c r="M252"/>
      <c r="N252"/>
      <c r="O252"/>
      <c r="P252"/>
      <c r="Q252"/>
      <c r="R252"/>
      <c r="S252"/>
    </row>
    <row r="253" spans="1:19">
      <c r="A253"/>
      <c r="B253"/>
      <c r="C253"/>
      <c r="D253"/>
      <c r="E253"/>
      <c r="F253"/>
      <c r="G253"/>
      <c r="H253"/>
      <c r="I253"/>
      <c r="J253"/>
      <c r="K253"/>
      <c r="L253"/>
      <c r="M253"/>
      <c r="N253"/>
      <c r="O253"/>
      <c r="P253"/>
      <c r="Q253"/>
      <c r="R253"/>
      <c r="S253"/>
    </row>
    <row r="254" spans="1:19">
      <c r="A254"/>
      <c r="B254"/>
      <c r="C254"/>
      <c r="D254"/>
      <c r="E254"/>
      <c r="F254"/>
      <c r="G254"/>
      <c r="H254"/>
      <c r="I254"/>
      <c r="J254"/>
      <c r="K254"/>
      <c r="L254"/>
      <c r="M254"/>
      <c r="N254"/>
      <c r="O254"/>
      <c r="P254"/>
      <c r="Q254"/>
      <c r="R254"/>
      <c r="S254"/>
    </row>
    <row r="255" spans="1:19">
      <c r="A255"/>
      <c r="B255"/>
      <c r="C255"/>
      <c r="D255"/>
      <c r="E255"/>
      <c r="F255"/>
      <c r="G255"/>
      <c r="H255"/>
      <c r="I255"/>
      <c r="J255"/>
      <c r="K255"/>
      <c r="L255"/>
      <c r="M255"/>
      <c r="N255"/>
      <c r="O255"/>
      <c r="P255"/>
      <c r="Q255"/>
      <c r="R255"/>
      <c r="S255"/>
    </row>
    <row r="256" spans="1:19">
      <c r="A256"/>
      <c r="B256"/>
      <c r="C256"/>
      <c r="D256"/>
      <c r="E256"/>
      <c r="F256"/>
      <c r="G256"/>
      <c r="H256"/>
      <c r="I256"/>
      <c r="J256"/>
      <c r="K256"/>
      <c r="L256"/>
      <c r="M256"/>
      <c r="N256"/>
      <c r="O256"/>
      <c r="P256"/>
      <c r="Q256"/>
      <c r="R256"/>
      <c r="S256"/>
    </row>
    <row r="257" spans="1:19">
      <c r="A257"/>
      <c r="B257"/>
      <c r="C257"/>
      <c r="D257"/>
      <c r="E257"/>
      <c r="F257"/>
      <c r="G257"/>
      <c r="H257"/>
      <c r="I257"/>
      <c r="J257"/>
      <c r="K257"/>
      <c r="L257"/>
      <c r="M257"/>
      <c r="N257"/>
      <c r="O257"/>
      <c r="P257"/>
      <c r="Q257"/>
      <c r="R257"/>
      <c r="S257"/>
    </row>
    <row r="258" spans="1:19">
      <c r="A258"/>
      <c r="B258"/>
      <c r="C258"/>
      <c r="D258"/>
      <c r="E258"/>
      <c r="F258"/>
      <c r="G258"/>
      <c r="H258"/>
      <c r="I258"/>
      <c r="J258"/>
      <c r="K258"/>
      <c r="L258"/>
      <c r="M258"/>
      <c r="N258"/>
      <c r="O258"/>
      <c r="P258"/>
      <c r="Q258"/>
      <c r="R258"/>
      <c r="S258"/>
    </row>
    <row r="259" spans="1:19">
      <c r="A259"/>
      <c r="B259"/>
      <c r="C259"/>
      <c r="D259"/>
      <c r="E259"/>
      <c r="F259"/>
      <c r="G259"/>
      <c r="H259"/>
      <c r="I259"/>
      <c r="J259"/>
      <c r="K259"/>
      <c r="L259"/>
      <c r="M259"/>
      <c r="N259"/>
      <c r="O259"/>
      <c r="P259"/>
      <c r="Q259"/>
      <c r="R259"/>
      <c r="S259"/>
    </row>
    <row r="260" spans="1:19">
      <c r="A260"/>
      <c r="B260"/>
      <c r="C260"/>
      <c r="D260"/>
      <c r="E260"/>
      <c r="F260"/>
      <c r="G260"/>
      <c r="H260"/>
      <c r="I260"/>
      <c r="J260"/>
      <c r="K260"/>
      <c r="L260"/>
      <c r="M260"/>
      <c r="N260"/>
      <c r="O260"/>
      <c r="P260"/>
      <c r="Q260"/>
      <c r="R260"/>
      <c r="S260"/>
    </row>
    <row r="261" spans="1:19">
      <c r="A261"/>
      <c r="B261"/>
      <c r="C261"/>
      <c r="D261"/>
      <c r="E261"/>
      <c r="F261"/>
      <c r="G261"/>
      <c r="H261"/>
      <c r="I261"/>
      <c r="J261"/>
      <c r="K261"/>
      <c r="L261"/>
      <c r="M261"/>
      <c r="N261"/>
      <c r="O261"/>
      <c r="P261"/>
      <c r="Q261"/>
      <c r="R261"/>
      <c r="S261"/>
    </row>
    <row r="262" spans="1:19">
      <c r="A262"/>
      <c r="B262"/>
      <c r="C262"/>
      <c r="D262"/>
      <c r="E262"/>
      <c r="F262"/>
      <c r="G262"/>
      <c r="H262"/>
      <c r="I262"/>
      <c r="J262"/>
      <c r="K262"/>
      <c r="L262"/>
      <c r="M262"/>
      <c r="N262"/>
      <c r="O262"/>
      <c r="P262"/>
      <c r="Q262"/>
      <c r="R262"/>
      <c r="S262"/>
    </row>
    <row r="263" spans="1:19">
      <c r="A263"/>
      <c r="B263"/>
      <c r="C263"/>
      <c r="D263"/>
      <c r="E263"/>
      <c r="F263"/>
      <c r="G263"/>
      <c r="H263"/>
      <c r="I263"/>
      <c r="J263"/>
      <c r="K263"/>
      <c r="L263"/>
      <c r="M263"/>
      <c r="N263"/>
      <c r="O263"/>
      <c r="P263"/>
      <c r="Q263"/>
      <c r="R263"/>
      <c r="S263"/>
    </row>
    <row r="264" spans="1:19">
      <c r="A264"/>
      <c r="B264"/>
      <c r="C264"/>
      <c r="D264"/>
      <c r="E264"/>
      <c r="F264"/>
      <c r="G264"/>
      <c r="H264"/>
      <c r="I264"/>
      <c r="J264"/>
      <c r="K264"/>
      <c r="L264"/>
      <c r="M264"/>
      <c r="N264"/>
      <c r="O264"/>
      <c r="P264"/>
      <c r="Q264"/>
      <c r="R264"/>
      <c r="S264"/>
    </row>
    <row r="265" spans="1:19">
      <c r="A265"/>
      <c r="B265"/>
      <c r="C265"/>
      <c r="D265"/>
      <c r="E265"/>
      <c r="F265"/>
      <c r="G265"/>
      <c r="H265"/>
      <c r="I265"/>
      <c r="J265"/>
      <c r="K265"/>
      <c r="L265"/>
      <c r="M265"/>
      <c r="N265"/>
      <c r="O265"/>
      <c r="P265"/>
      <c r="Q265"/>
      <c r="R265"/>
      <c r="S265"/>
    </row>
    <row r="266" spans="1:19">
      <c r="A266"/>
      <c r="B266"/>
      <c r="C266"/>
      <c r="D266"/>
      <c r="E266"/>
      <c r="F266"/>
      <c r="G266"/>
      <c r="H266"/>
      <c r="I266"/>
      <c r="J266"/>
      <c r="K266"/>
      <c r="L266"/>
      <c r="M266"/>
      <c r="N266"/>
      <c r="O266"/>
      <c r="P266"/>
      <c r="Q266"/>
      <c r="R266"/>
      <c r="S266"/>
    </row>
    <row r="267" spans="1:19">
      <c r="A267"/>
      <c r="B267"/>
      <c r="C267"/>
      <c r="D267"/>
      <c r="E267"/>
      <c r="F267"/>
      <c r="G267"/>
      <c r="H267"/>
      <c r="I267"/>
      <c r="J267"/>
      <c r="K267"/>
      <c r="L267"/>
      <c r="M267"/>
      <c r="N267"/>
      <c r="O267"/>
      <c r="P267"/>
      <c r="Q267"/>
      <c r="R267"/>
      <c r="S267"/>
    </row>
    <row r="268" spans="1:19">
      <c r="A268"/>
      <c r="B268"/>
      <c r="C268"/>
      <c r="D268"/>
      <c r="E268"/>
      <c r="F268"/>
      <c r="G268"/>
      <c r="H268"/>
      <c r="I268"/>
      <c r="J268"/>
      <c r="K268"/>
      <c r="L268"/>
      <c r="M268"/>
      <c r="N268"/>
      <c r="O268"/>
      <c r="P268"/>
      <c r="Q268"/>
      <c r="R268"/>
      <c r="S268"/>
    </row>
    <row r="269" spans="1:19">
      <c r="A269"/>
      <c r="B269"/>
      <c r="C269"/>
      <c r="D269"/>
      <c r="E269"/>
      <c r="F269"/>
      <c r="G269"/>
      <c r="H269"/>
      <c r="I269"/>
      <c r="J269"/>
      <c r="K269"/>
      <c r="L269"/>
      <c r="M269"/>
      <c r="N269"/>
      <c r="O269"/>
      <c r="P269"/>
      <c r="Q269"/>
      <c r="R269"/>
      <c r="S269"/>
    </row>
    <row r="270" spans="1:19">
      <c r="A270"/>
      <c r="B270"/>
      <c r="C270"/>
      <c r="D270"/>
      <c r="E270"/>
      <c r="F270"/>
      <c r="G270"/>
      <c r="H270"/>
      <c r="I270"/>
      <c r="J270"/>
      <c r="K270"/>
      <c r="L270"/>
      <c r="M270"/>
      <c r="N270"/>
      <c r="O270"/>
      <c r="P270"/>
      <c r="Q270"/>
      <c r="R270"/>
      <c r="S270"/>
    </row>
    <row r="271" spans="1:19">
      <c r="A271"/>
      <c r="B271"/>
      <c r="C271"/>
      <c r="D271"/>
      <c r="E271"/>
      <c r="F271"/>
      <c r="G271"/>
      <c r="H271"/>
      <c r="I271"/>
      <c r="J271"/>
      <c r="K271"/>
      <c r="L271"/>
      <c r="M271"/>
      <c r="N271"/>
      <c r="O271"/>
      <c r="P271"/>
      <c r="Q271"/>
      <c r="R271"/>
      <c r="S271"/>
    </row>
    <row r="272" spans="1:19">
      <c r="A272"/>
      <c r="B272"/>
      <c r="C272"/>
      <c r="D272"/>
      <c r="E272"/>
      <c r="F272"/>
      <c r="G272"/>
      <c r="H272"/>
      <c r="I272"/>
      <c r="J272"/>
      <c r="K272"/>
      <c r="L272"/>
      <c r="M272"/>
      <c r="N272"/>
      <c r="O272"/>
      <c r="P272"/>
      <c r="Q272"/>
      <c r="R272"/>
      <c r="S272"/>
    </row>
    <row r="273" spans="1:19">
      <c r="A273"/>
      <c r="B273"/>
      <c r="C273"/>
      <c r="D273"/>
      <c r="E273"/>
      <c r="F273"/>
      <c r="G273"/>
      <c r="H273"/>
      <c r="I273"/>
      <c r="J273"/>
      <c r="K273"/>
      <c r="L273"/>
      <c r="M273"/>
      <c r="N273"/>
      <c r="O273"/>
      <c r="P273"/>
      <c r="Q273"/>
      <c r="R273"/>
      <c r="S273"/>
    </row>
    <row r="274" spans="1:19">
      <c r="A274"/>
      <c r="B274"/>
      <c r="C274"/>
      <c r="D274"/>
      <c r="E274"/>
      <c r="F274"/>
      <c r="G274"/>
      <c r="H274"/>
      <c r="I274"/>
      <c r="J274"/>
      <c r="K274"/>
      <c r="L274"/>
      <c r="M274"/>
      <c r="N274"/>
      <c r="O274"/>
      <c r="P274"/>
      <c r="Q274"/>
      <c r="R274"/>
      <c r="S274"/>
    </row>
    <row r="275" spans="1:19">
      <c r="A275"/>
      <c r="B275"/>
      <c r="C275"/>
      <c r="D275"/>
      <c r="E275"/>
      <c r="F275"/>
      <c r="G275"/>
      <c r="H275"/>
      <c r="I275"/>
      <c r="J275"/>
      <c r="K275"/>
      <c r="L275"/>
      <c r="M275"/>
      <c r="N275"/>
      <c r="O275"/>
      <c r="P275"/>
      <c r="Q275"/>
      <c r="R275"/>
      <c r="S275"/>
    </row>
    <row r="276" spans="1:19">
      <c r="A276"/>
      <c r="B276"/>
      <c r="C276"/>
      <c r="D276"/>
      <c r="E276"/>
      <c r="F276"/>
      <c r="G276"/>
      <c r="H276"/>
      <c r="I276"/>
      <c r="J276"/>
      <c r="K276"/>
      <c r="L276"/>
      <c r="M276"/>
      <c r="N276"/>
      <c r="O276"/>
      <c r="P276"/>
      <c r="Q276"/>
      <c r="R276"/>
      <c r="S276"/>
    </row>
    <row r="277" spans="1:19">
      <c r="A277"/>
      <c r="B277"/>
      <c r="C277"/>
      <c r="D277"/>
      <c r="E277"/>
      <c r="F277"/>
      <c r="G277"/>
      <c r="H277"/>
      <c r="I277"/>
      <c r="J277"/>
      <c r="K277"/>
      <c r="L277"/>
      <c r="M277"/>
      <c r="N277"/>
      <c r="O277"/>
      <c r="P277"/>
      <c r="Q277"/>
      <c r="R277"/>
      <c r="S277"/>
    </row>
    <row r="278" spans="1:19">
      <c r="A278"/>
      <c r="B278"/>
      <c r="C278"/>
      <c r="D278"/>
      <c r="E278"/>
      <c r="F278"/>
      <c r="G278"/>
      <c r="H278"/>
      <c r="I278"/>
      <c r="J278"/>
      <c r="K278"/>
      <c r="L278"/>
      <c r="M278"/>
      <c r="N278"/>
      <c r="O278"/>
      <c r="P278"/>
      <c r="Q278"/>
      <c r="R278"/>
      <c r="S278"/>
    </row>
    <row r="279" spans="1:19">
      <c r="A279"/>
      <c r="B279"/>
      <c r="C279"/>
      <c r="D279"/>
      <c r="E279"/>
      <c r="F279"/>
      <c r="G279"/>
      <c r="H279"/>
      <c r="I279"/>
      <c r="J279"/>
      <c r="K279"/>
      <c r="L279"/>
      <c r="M279"/>
      <c r="N279"/>
      <c r="O279"/>
      <c r="P279"/>
      <c r="Q279"/>
      <c r="R279"/>
      <c r="S279"/>
    </row>
    <row r="280" spans="1:19">
      <c r="A280"/>
      <c r="B280"/>
      <c r="C280"/>
      <c r="D280"/>
      <c r="E280"/>
      <c r="F280"/>
      <c r="G280"/>
      <c r="H280"/>
      <c r="I280"/>
      <c r="J280"/>
      <c r="K280"/>
      <c r="L280"/>
      <c r="M280"/>
      <c r="N280"/>
      <c r="O280"/>
      <c r="P280"/>
      <c r="Q280"/>
      <c r="R280"/>
      <c r="S280"/>
    </row>
    <row r="281" spans="1:19">
      <c r="A281"/>
      <c r="B281"/>
      <c r="C281"/>
      <c r="D281"/>
      <c r="E281"/>
      <c r="F281"/>
      <c r="G281"/>
      <c r="H281"/>
      <c r="I281"/>
      <c r="J281"/>
      <c r="K281"/>
      <c r="L281"/>
      <c r="M281"/>
      <c r="N281"/>
      <c r="O281"/>
      <c r="P281"/>
      <c r="Q281"/>
      <c r="R281"/>
      <c r="S281"/>
    </row>
    <row r="282" spans="1:19">
      <c r="A282"/>
      <c r="B282"/>
      <c r="C282"/>
      <c r="D282"/>
      <c r="E282"/>
      <c r="F282"/>
      <c r="G282"/>
      <c r="H282"/>
      <c r="I282"/>
      <c r="J282"/>
      <c r="K282"/>
      <c r="L282"/>
      <c r="M282"/>
      <c r="N282"/>
      <c r="O282"/>
      <c r="P282"/>
      <c r="Q282"/>
      <c r="R282"/>
      <c r="S282"/>
    </row>
    <row r="283" spans="1:19">
      <c r="A283"/>
      <c r="B283"/>
      <c r="C283"/>
      <c r="D283"/>
      <c r="E283"/>
      <c r="F283"/>
      <c r="G283"/>
      <c r="H283"/>
      <c r="I283"/>
      <c r="J283"/>
      <c r="K283"/>
      <c r="L283"/>
      <c r="M283"/>
      <c r="N283"/>
      <c r="O283"/>
      <c r="P283"/>
      <c r="Q283"/>
      <c r="R283"/>
      <c r="S283"/>
    </row>
    <row r="284" spans="1:19">
      <c r="A284"/>
      <c r="B284"/>
      <c r="C284"/>
      <c r="D284"/>
      <c r="E284"/>
      <c r="F284"/>
      <c r="G284"/>
      <c r="H284"/>
      <c r="I284"/>
      <c r="J284"/>
      <c r="K284"/>
      <c r="L284"/>
      <c r="M284"/>
      <c r="N284"/>
      <c r="O284"/>
      <c r="P284"/>
      <c r="Q284"/>
      <c r="R284"/>
      <c r="S284"/>
    </row>
    <row r="285" spans="1:19">
      <c r="A285"/>
      <c r="B285"/>
      <c r="C285"/>
      <c r="D285"/>
      <c r="E285"/>
      <c r="F285"/>
      <c r="G285"/>
      <c r="H285"/>
      <c r="I285"/>
      <c r="J285"/>
      <c r="K285"/>
      <c r="L285"/>
      <c r="M285"/>
      <c r="N285"/>
      <c r="O285"/>
      <c r="P285"/>
      <c r="Q285"/>
      <c r="R285"/>
      <c r="S285"/>
    </row>
    <row r="286" spans="1:19">
      <c r="A286"/>
      <c r="B286"/>
      <c r="C286"/>
      <c r="D286"/>
      <c r="E286"/>
      <c r="F286"/>
      <c r="G286"/>
      <c r="H286"/>
      <c r="I286"/>
      <c r="J286"/>
      <c r="K286"/>
      <c r="L286"/>
      <c r="M286"/>
      <c r="N286"/>
      <c r="O286"/>
      <c r="P286"/>
      <c r="Q286"/>
      <c r="R286"/>
      <c r="S286"/>
    </row>
    <row r="287" spans="1:19">
      <c r="A287"/>
      <c r="B287"/>
      <c r="C287"/>
      <c r="D287"/>
      <c r="E287"/>
      <c r="F287"/>
      <c r="G287"/>
      <c r="H287"/>
      <c r="I287"/>
      <c r="J287"/>
      <c r="K287"/>
      <c r="L287"/>
      <c r="M287"/>
      <c r="N287"/>
      <c r="O287"/>
      <c r="P287"/>
      <c r="Q287"/>
      <c r="R287"/>
      <c r="S287"/>
    </row>
    <row r="288" spans="1:19">
      <c r="A288"/>
      <c r="B288"/>
      <c r="C288"/>
      <c r="D288"/>
      <c r="E288"/>
      <c r="F288"/>
      <c r="G288"/>
      <c r="H288"/>
      <c r="I288"/>
      <c r="J288"/>
      <c r="K288"/>
      <c r="L288"/>
      <c r="M288"/>
      <c r="N288"/>
      <c r="O288"/>
      <c r="P288"/>
      <c r="Q288"/>
      <c r="R288"/>
      <c r="S288"/>
    </row>
    <row r="289" spans="1:19">
      <c r="A289"/>
      <c r="B289"/>
      <c r="C289"/>
      <c r="D289"/>
      <c r="E289"/>
      <c r="F289"/>
      <c r="G289"/>
      <c r="H289"/>
      <c r="I289"/>
      <c r="J289"/>
      <c r="K289"/>
      <c r="L289"/>
      <c r="M289"/>
      <c r="N289"/>
      <c r="O289"/>
      <c r="P289"/>
      <c r="Q289"/>
      <c r="R289"/>
      <c r="S289"/>
    </row>
    <row r="290" spans="1:19">
      <c r="A290"/>
      <c r="B290"/>
      <c r="C290"/>
      <c r="D290"/>
      <c r="E290"/>
      <c r="F290"/>
      <c r="G290"/>
      <c r="H290"/>
      <c r="I290"/>
      <c r="J290"/>
      <c r="K290"/>
      <c r="L290"/>
      <c r="M290"/>
      <c r="N290"/>
      <c r="O290"/>
      <c r="P290"/>
      <c r="Q290"/>
      <c r="R290"/>
      <c r="S290"/>
    </row>
    <row r="291" spans="1:19">
      <c r="A291"/>
      <c r="B291"/>
      <c r="C291"/>
      <c r="D291"/>
      <c r="E291"/>
      <c r="F291"/>
      <c r="G291"/>
      <c r="H291"/>
      <c r="I291"/>
      <c r="J291"/>
      <c r="K291"/>
      <c r="L291"/>
      <c r="M291"/>
      <c r="N291"/>
      <c r="O291"/>
      <c r="P291"/>
      <c r="Q291"/>
      <c r="R291"/>
      <c r="S291"/>
    </row>
    <row r="292" spans="1:19">
      <c r="A292"/>
      <c r="B292"/>
      <c r="C292"/>
      <c r="D292"/>
      <c r="E292"/>
      <c r="F292"/>
      <c r="G292"/>
      <c r="H292"/>
      <c r="I292"/>
      <c r="J292"/>
      <c r="K292"/>
      <c r="L292"/>
      <c r="M292"/>
      <c r="N292"/>
      <c r="O292"/>
      <c r="P292"/>
      <c r="Q292"/>
      <c r="R292"/>
      <c r="S292"/>
    </row>
    <row r="293" spans="1:19">
      <c r="A293"/>
      <c r="B293"/>
      <c r="C293"/>
      <c r="D293"/>
      <c r="E293"/>
      <c r="F293"/>
      <c r="G293"/>
      <c r="H293"/>
      <c r="I293"/>
      <c r="J293"/>
      <c r="K293"/>
      <c r="L293"/>
      <c r="M293"/>
      <c r="N293"/>
      <c r="O293"/>
      <c r="P293"/>
      <c r="Q293"/>
      <c r="R293"/>
      <c r="S293"/>
    </row>
    <row r="294" spans="1:19">
      <c r="A294"/>
      <c r="B294"/>
      <c r="C294"/>
      <c r="D294"/>
      <c r="E294"/>
      <c r="F294"/>
      <c r="G294"/>
      <c r="H294"/>
      <c r="I294"/>
      <c r="J294"/>
      <c r="K294"/>
      <c r="L294"/>
      <c r="M294"/>
      <c r="N294"/>
      <c r="O294"/>
      <c r="P294"/>
      <c r="Q294"/>
      <c r="R294"/>
      <c r="S294"/>
    </row>
    <row r="295" spans="1:19">
      <c r="A295"/>
      <c r="B295"/>
      <c r="C295"/>
      <c r="D295"/>
      <c r="E295"/>
      <c r="F295"/>
      <c r="G295"/>
      <c r="H295"/>
      <c r="I295"/>
      <c r="J295"/>
      <c r="K295"/>
      <c r="L295"/>
      <c r="M295"/>
      <c r="N295"/>
      <c r="O295"/>
      <c r="P295"/>
      <c r="Q295"/>
      <c r="R295"/>
      <c r="S295"/>
    </row>
    <row r="296" spans="1:19">
      <c r="A296"/>
      <c r="B296"/>
      <c r="C296"/>
      <c r="D296"/>
      <c r="E296"/>
      <c r="F296"/>
      <c r="G296"/>
      <c r="H296"/>
      <c r="I296"/>
      <c r="J296"/>
      <c r="K296"/>
      <c r="L296"/>
      <c r="M296"/>
      <c r="N296"/>
      <c r="O296"/>
      <c r="P296"/>
      <c r="Q296"/>
      <c r="R296"/>
      <c r="S296"/>
    </row>
    <row r="297" spans="1:19">
      <c r="A297"/>
      <c r="B297"/>
      <c r="C297"/>
      <c r="D297"/>
      <c r="E297"/>
      <c r="F297"/>
      <c r="G297"/>
      <c r="H297"/>
      <c r="I297"/>
      <c r="J297"/>
      <c r="K297"/>
      <c r="L297"/>
      <c r="M297"/>
      <c r="N297"/>
      <c r="O297"/>
      <c r="P297"/>
      <c r="Q297"/>
      <c r="R297"/>
      <c r="S297"/>
    </row>
    <row r="298" spans="1:19">
      <c r="A298"/>
      <c r="B298"/>
      <c r="C298"/>
      <c r="D298"/>
      <c r="E298"/>
      <c r="F298"/>
      <c r="G298"/>
      <c r="H298"/>
      <c r="I298"/>
      <c r="J298"/>
      <c r="K298"/>
      <c r="L298"/>
      <c r="M298"/>
      <c r="N298"/>
      <c r="O298"/>
      <c r="P298"/>
      <c r="Q298"/>
      <c r="R298"/>
      <c r="S298"/>
    </row>
    <row r="299" spans="1:19">
      <c r="A299"/>
      <c r="B299"/>
      <c r="C299"/>
      <c r="D299"/>
      <c r="E299"/>
      <c r="F299"/>
      <c r="G299"/>
      <c r="H299"/>
      <c r="I299"/>
      <c r="J299"/>
      <c r="K299"/>
      <c r="L299"/>
      <c r="M299"/>
      <c r="N299"/>
      <c r="O299"/>
      <c r="P299"/>
      <c r="Q299"/>
      <c r="R299"/>
      <c r="S299"/>
    </row>
    <row r="300" spans="1:19">
      <c r="A300"/>
      <c r="B300"/>
      <c r="C300"/>
      <c r="D300"/>
      <c r="E300"/>
      <c r="F300"/>
      <c r="G300"/>
      <c r="H300"/>
      <c r="I300"/>
      <c r="J300"/>
      <c r="K300"/>
      <c r="L300"/>
      <c r="M300"/>
      <c r="N300"/>
      <c r="O300"/>
      <c r="P300"/>
      <c r="Q300"/>
      <c r="R300"/>
      <c r="S300"/>
    </row>
    <row r="301" spans="1:19">
      <c r="A301"/>
      <c r="B301"/>
      <c r="C301"/>
      <c r="D301"/>
      <c r="E301"/>
      <c r="F301"/>
      <c r="G301"/>
      <c r="H301"/>
      <c r="I301"/>
      <c r="J301"/>
      <c r="K301"/>
      <c r="L301"/>
      <c r="M301"/>
      <c r="N301"/>
      <c r="O301"/>
      <c r="P301"/>
      <c r="Q301"/>
      <c r="R301"/>
      <c r="S301"/>
    </row>
    <row r="302" spans="1:19">
      <c r="A302"/>
      <c r="B302"/>
      <c r="C302"/>
      <c r="D302"/>
      <c r="E302"/>
      <c r="F302"/>
      <c r="G302"/>
      <c r="H302"/>
      <c r="I302"/>
      <c r="J302"/>
      <c r="K302"/>
      <c r="L302"/>
      <c r="M302"/>
      <c r="N302"/>
      <c r="O302"/>
      <c r="P302"/>
      <c r="Q302"/>
      <c r="R302"/>
      <c r="S302"/>
    </row>
    <row r="303" spans="1:19">
      <c r="A303"/>
      <c r="B303"/>
      <c r="C303"/>
      <c r="D303"/>
      <c r="E303"/>
      <c r="F303"/>
      <c r="G303"/>
      <c r="H303"/>
      <c r="I303"/>
      <c r="J303"/>
      <c r="K303"/>
      <c r="L303"/>
      <c r="M303"/>
      <c r="N303"/>
      <c r="O303"/>
      <c r="P303"/>
      <c r="Q303"/>
      <c r="R303"/>
      <c r="S303"/>
    </row>
    <row r="304" spans="1:19">
      <c r="A304"/>
      <c r="B304"/>
      <c r="C304"/>
      <c r="D304"/>
      <c r="E304"/>
      <c r="F304"/>
      <c r="G304"/>
      <c r="H304"/>
      <c r="I304"/>
      <c r="J304"/>
      <c r="K304"/>
      <c r="L304"/>
      <c r="M304"/>
      <c r="N304"/>
      <c r="O304"/>
      <c r="P304"/>
      <c r="Q304"/>
      <c r="R304"/>
      <c r="S304"/>
    </row>
    <row r="305" spans="1:19">
      <c r="A305"/>
      <c r="B305"/>
      <c r="C305"/>
      <c r="D305"/>
      <c r="E305"/>
      <c r="F305"/>
      <c r="G305"/>
      <c r="H305"/>
      <c r="I305"/>
      <c r="J305"/>
      <c r="K305"/>
      <c r="L305"/>
      <c r="M305"/>
      <c r="N305"/>
      <c r="O305"/>
      <c r="P305"/>
      <c r="Q305"/>
      <c r="R305"/>
      <c r="S305"/>
    </row>
    <row r="306" spans="1:19">
      <c r="A306"/>
      <c r="B306"/>
      <c r="C306"/>
      <c r="D306"/>
      <c r="E306"/>
      <c r="F306"/>
      <c r="G306"/>
      <c r="H306"/>
      <c r="I306"/>
      <c r="J306"/>
      <c r="K306"/>
      <c r="L306"/>
      <c r="M306"/>
      <c r="N306"/>
      <c r="O306"/>
      <c r="P306"/>
      <c r="Q306"/>
      <c r="R306"/>
      <c r="S306"/>
    </row>
    <row r="307" spans="1:19">
      <c r="A307"/>
      <c r="B307"/>
      <c r="C307"/>
      <c r="D307"/>
      <c r="E307"/>
      <c r="F307"/>
      <c r="G307"/>
      <c r="H307"/>
      <c r="I307"/>
      <c r="J307"/>
      <c r="K307"/>
      <c r="L307"/>
      <c r="M307"/>
      <c r="N307"/>
      <c r="O307"/>
      <c r="P307"/>
      <c r="Q307"/>
      <c r="R307"/>
      <c r="S307"/>
    </row>
    <row r="308" spans="1:19">
      <c r="A308"/>
      <c r="B308"/>
      <c r="C308"/>
      <c r="D308"/>
      <c r="E308"/>
      <c r="F308"/>
      <c r="G308"/>
      <c r="H308"/>
      <c r="I308"/>
      <c r="J308"/>
      <c r="K308"/>
      <c r="L308"/>
      <c r="M308"/>
      <c r="N308"/>
      <c r="O308"/>
      <c r="P308"/>
      <c r="Q308"/>
      <c r="R308"/>
      <c r="S308"/>
    </row>
    <row r="309" spans="1:19">
      <c r="A309"/>
      <c r="B309"/>
      <c r="C309"/>
      <c r="D309"/>
      <c r="E309"/>
      <c r="F309"/>
      <c r="G309"/>
      <c r="H309"/>
      <c r="I309"/>
      <c r="J309"/>
      <c r="K309"/>
      <c r="L309"/>
      <c r="M309"/>
      <c r="N309"/>
      <c r="O309"/>
      <c r="P309"/>
      <c r="Q309"/>
      <c r="R309"/>
      <c r="S309"/>
    </row>
    <row r="310" spans="1:19">
      <c r="A310"/>
      <c r="B310"/>
      <c r="C310"/>
      <c r="D310"/>
      <c r="E310"/>
      <c r="F310"/>
      <c r="G310"/>
      <c r="H310"/>
      <c r="I310"/>
      <c r="J310"/>
      <c r="K310"/>
      <c r="L310"/>
      <c r="M310"/>
      <c r="N310"/>
      <c r="O310"/>
      <c r="P310"/>
      <c r="Q310"/>
      <c r="R310"/>
      <c r="S310"/>
    </row>
    <row r="311" spans="1:19">
      <c r="A311"/>
      <c r="B311"/>
      <c r="C311"/>
      <c r="D311"/>
      <c r="E311"/>
      <c r="F311"/>
      <c r="G311"/>
      <c r="H311"/>
      <c r="I311"/>
      <c r="J311"/>
      <c r="K311"/>
      <c r="L311"/>
      <c r="M311"/>
      <c r="N311"/>
      <c r="O311"/>
      <c r="P311"/>
      <c r="Q311"/>
      <c r="R311"/>
      <c r="S311"/>
    </row>
    <row r="312" spans="1:19">
      <c r="A312"/>
      <c r="B312"/>
      <c r="C312"/>
      <c r="D312"/>
      <c r="E312"/>
      <c r="F312"/>
      <c r="G312"/>
      <c r="H312"/>
      <c r="I312"/>
      <c r="J312"/>
      <c r="K312"/>
      <c r="L312"/>
      <c r="M312"/>
      <c r="N312"/>
      <c r="O312"/>
      <c r="P312"/>
      <c r="Q312"/>
      <c r="R312"/>
      <c r="S312"/>
    </row>
    <row r="313" spans="1:19">
      <c r="A313"/>
      <c r="B313"/>
      <c r="C313"/>
      <c r="D313"/>
      <c r="E313"/>
      <c r="F313"/>
      <c r="G313"/>
      <c r="H313"/>
      <c r="I313"/>
      <c r="J313"/>
      <c r="K313"/>
      <c r="L313"/>
      <c r="M313"/>
      <c r="N313"/>
      <c r="O313"/>
      <c r="P313"/>
      <c r="Q313"/>
      <c r="R313"/>
      <c r="S313"/>
    </row>
    <row r="314" spans="1:19">
      <c r="A314"/>
      <c r="B314"/>
      <c r="C314"/>
      <c r="D314"/>
      <c r="E314"/>
      <c r="F314"/>
      <c r="G314"/>
      <c r="H314"/>
      <c r="I314"/>
      <c r="J314"/>
      <c r="K314"/>
      <c r="L314"/>
      <c r="M314"/>
      <c r="N314"/>
      <c r="O314"/>
      <c r="P314"/>
      <c r="Q314"/>
      <c r="R314"/>
      <c r="S314"/>
    </row>
    <row r="315" spans="1:19">
      <c r="A315"/>
      <c r="B315"/>
      <c r="C315"/>
      <c r="D315"/>
      <c r="E315"/>
      <c r="F315"/>
      <c r="G315"/>
      <c r="H315"/>
      <c r="I315"/>
      <c r="J315"/>
      <c r="K315"/>
      <c r="L315"/>
      <c r="M315"/>
      <c r="N315"/>
      <c r="O315"/>
      <c r="P315"/>
      <c r="Q315"/>
      <c r="R315"/>
      <c r="S315"/>
    </row>
    <row r="316" spans="1:19">
      <c r="A316"/>
      <c r="B316"/>
      <c r="C316"/>
      <c r="D316"/>
      <c r="E316"/>
      <c r="F316"/>
      <c r="G316"/>
      <c r="H316"/>
      <c r="I316"/>
      <c r="J316"/>
      <c r="K316"/>
      <c r="L316"/>
      <c r="M316"/>
      <c r="N316"/>
      <c r="O316"/>
      <c r="P316"/>
      <c r="Q316"/>
      <c r="R316"/>
      <c r="S316"/>
    </row>
    <row r="317" spans="1:19">
      <c r="A317"/>
      <c r="B317"/>
      <c r="C317"/>
      <c r="D317"/>
      <c r="E317"/>
      <c r="F317"/>
      <c r="G317"/>
      <c r="H317"/>
      <c r="I317"/>
      <c r="J317"/>
      <c r="K317"/>
      <c r="L317"/>
      <c r="M317"/>
      <c r="N317"/>
      <c r="O317"/>
      <c r="P317"/>
      <c r="Q317"/>
      <c r="R317"/>
      <c r="S317"/>
    </row>
    <row r="318" spans="1:19">
      <c r="A318"/>
      <c r="B318"/>
      <c r="C318"/>
      <c r="D318"/>
      <c r="E318"/>
      <c r="F318"/>
      <c r="G318"/>
      <c r="H318"/>
      <c r="I318"/>
      <c r="J318"/>
      <c r="K318"/>
      <c r="L318"/>
      <c r="M318"/>
      <c r="N318"/>
      <c r="O318"/>
      <c r="P318"/>
      <c r="Q318"/>
      <c r="R318"/>
      <c r="S318"/>
    </row>
    <row r="319" spans="1:19">
      <c r="A319"/>
      <c r="B319"/>
      <c r="C319"/>
      <c r="D319"/>
      <c r="E319"/>
      <c r="F319"/>
      <c r="G319"/>
      <c r="H319"/>
      <c r="I319"/>
      <c r="J319"/>
      <c r="K319"/>
      <c r="L319"/>
      <c r="M319"/>
      <c r="N319"/>
      <c r="O319"/>
      <c r="P319"/>
      <c r="Q319"/>
      <c r="R319"/>
      <c r="S319"/>
    </row>
    <row r="320" spans="1:19">
      <c r="A320"/>
      <c r="B320"/>
      <c r="C320"/>
      <c r="D320"/>
      <c r="E320"/>
      <c r="F320"/>
      <c r="G320"/>
      <c r="H320"/>
      <c r="I320"/>
      <c r="J320"/>
      <c r="K320"/>
      <c r="L320"/>
      <c r="M320"/>
      <c r="N320"/>
      <c r="O320"/>
      <c r="P320"/>
      <c r="Q320"/>
      <c r="R320"/>
      <c r="S320"/>
    </row>
    <row r="321" spans="1:19">
      <c r="A321"/>
      <c r="B321"/>
      <c r="C321"/>
      <c r="D321"/>
      <c r="E321"/>
      <c r="F321"/>
      <c r="G321"/>
      <c r="H321"/>
      <c r="I321"/>
      <c r="J321"/>
      <c r="K321"/>
      <c r="L321"/>
      <c r="M321"/>
      <c r="N321"/>
      <c r="O321"/>
      <c r="P321"/>
      <c r="Q321"/>
      <c r="R321"/>
      <c r="S321"/>
    </row>
    <row r="322" spans="1:19">
      <c r="A322"/>
      <c r="B322"/>
      <c r="C322"/>
      <c r="D322"/>
      <c r="E322"/>
      <c r="F322"/>
      <c r="G322"/>
      <c r="H322"/>
      <c r="I322"/>
      <c r="J322"/>
      <c r="K322"/>
      <c r="L322"/>
      <c r="M322"/>
      <c r="N322"/>
      <c r="O322"/>
      <c r="P322"/>
      <c r="Q322"/>
      <c r="R322"/>
      <c r="S322"/>
    </row>
    <row r="323" spans="1:19">
      <c r="A323"/>
      <c r="B323"/>
      <c r="C323"/>
      <c r="D323"/>
      <c r="E323"/>
      <c r="F323"/>
      <c r="G323"/>
      <c r="H323"/>
      <c r="I323"/>
      <c r="J323"/>
      <c r="K323"/>
      <c r="L323"/>
      <c r="M323"/>
      <c r="N323"/>
      <c r="O323"/>
      <c r="P323"/>
      <c r="Q323"/>
      <c r="R323"/>
      <c r="S323"/>
    </row>
    <row r="324" spans="1:19">
      <c r="A324"/>
      <c r="B324"/>
      <c r="C324"/>
      <c r="D324"/>
      <c r="E324"/>
      <c r="F324"/>
      <c r="G324"/>
      <c r="H324"/>
      <c r="I324"/>
      <c r="J324"/>
      <c r="K324"/>
      <c r="L324"/>
      <c r="M324"/>
      <c r="N324"/>
      <c r="O324"/>
      <c r="P324"/>
      <c r="Q324"/>
      <c r="R324"/>
      <c r="S324"/>
    </row>
    <row r="325" spans="1:19">
      <c r="A325"/>
      <c r="B325"/>
      <c r="C325"/>
      <c r="D325"/>
      <c r="E325"/>
      <c r="F325"/>
      <c r="G325"/>
      <c r="H325"/>
      <c r="I325"/>
      <c r="J325"/>
      <c r="K325"/>
      <c r="L325"/>
      <c r="M325"/>
      <c r="N325"/>
      <c r="O325"/>
      <c r="P325"/>
      <c r="Q325"/>
      <c r="R325"/>
      <c r="S325"/>
    </row>
    <row r="326" spans="1:19">
      <c r="A326"/>
      <c r="B326"/>
      <c r="C326"/>
      <c r="D326"/>
      <c r="E326"/>
      <c r="F326"/>
      <c r="G326"/>
      <c r="H326"/>
      <c r="I326"/>
      <c r="J326"/>
      <c r="K326"/>
      <c r="L326"/>
      <c r="M326"/>
      <c r="N326"/>
      <c r="O326"/>
      <c r="P326"/>
      <c r="Q326"/>
      <c r="R326"/>
      <c r="S326"/>
    </row>
    <row r="327" spans="1:19">
      <c r="A327"/>
      <c r="B327"/>
      <c r="C327"/>
      <c r="D327"/>
      <c r="E327"/>
      <c r="F327"/>
      <c r="G327"/>
      <c r="H327"/>
      <c r="I327"/>
      <c r="J327"/>
      <c r="K327"/>
      <c r="L327"/>
      <c r="M327"/>
      <c r="N327"/>
      <c r="O327"/>
      <c r="P327"/>
      <c r="Q327"/>
      <c r="R327"/>
      <c r="S327"/>
    </row>
    <row r="328" spans="1:19">
      <c r="A328"/>
      <c r="B328"/>
      <c r="C328"/>
      <c r="D328"/>
      <c r="E328"/>
      <c r="F328"/>
      <c r="G328"/>
      <c r="H328"/>
      <c r="I328"/>
      <c r="J328"/>
      <c r="K328"/>
      <c r="L328"/>
      <c r="M328"/>
      <c r="N328"/>
      <c r="O328"/>
      <c r="P328"/>
      <c r="Q328"/>
      <c r="R328"/>
      <c r="S328"/>
    </row>
    <row r="329" spans="1:19">
      <c r="A329"/>
      <c r="B329"/>
      <c r="C329"/>
      <c r="D329"/>
      <c r="E329"/>
      <c r="F329"/>
      <c r="G329"/>
      <c r="H329"/>
      <c r="I329"/>
      <c r="J329"/>
      <c r="K329"/>
      <c r="L329"/>
      <c r="M329"/>
      <c r="N329"/>
      <c r="O329"/>
      <c r="P329"/>
      <c r="Q329"/>
      <c r="R329"/>
      <c r="S329"/>
    </row>
    <row r="330" spans="1:19">
      <c r="A330"/>
      <c r="B330"/>
      <c r="C330"/>
      <c r="D330"/>
      <c r="E330"/>
      <c r="F330"/>
      <c r="G330"/>
      <c r="H330"/>
      <c r="I330"/>
      <c r="J330"/>
      <c r="K330"/>
      <c r="L330"/>
      <c r="M330"/>
      <c r="N330"/>
      <c r="O330"/>
      <c r="P330"/>
      <c r="Q330"/>
      <c r="R330"/>
      <c r="S330"/>
    </row>
    <row r="331" spans="1:19">
      <c r="A331"/>
      <c r="B331"/>
      <c r="C331"/>
      <c r="D331"/>
      <c r="E331"/>
      <c r="F331"/>
      <c r="G331"/>
      <c r="H331"/>
      <c r="I331"/>
      <c r="J331"/>
      <c r="K331"/>
      <c r="L331"/>
      <c r="M331"/>
      <c r="N331"/>
      <c r="O331"/>
      <c r="P331"/>
      <c r="Q331"/>
      <c r="R331"/>
      <c r="S331"/>
    </row>
    <row r="332" spans="1:19">
      <c r="A332"/>
      <c r="B332"/>
      <c r="C332"/>
      <c r="D332"/>
      <c r="E332"/>
      <c r="F332"/>
      <c r="G332"/>
      <c r="H332"/>
      <c r="I332"/>
      <c r="J332"/>
      <c r="K332"/>
      <c r="L332"/>
      <c r="M332"/>
      <c r="N332"/>
      <c r="O332"/>
      <c r="P332"/>
      <c r="Q332"/>
      <c r="R332"/>
      <c r="S332"/>
    </row>
    <row r="333" spans="1:19">
      <c r="A333"/>
      <c r="B333"/>
      <c r="C333"/>
      <c r="D333"/>
      <c r="E333"/>
      <c r="F333"/>
      <c r="G333"/>
      <c r="H333"/>
      <c r="I333"/>
      <c r="J333"/>
      <c r="K333"/>
      <c r="L333"/>
      <c r="M333"/>
      <c r="N333"/>
      <c r="O333"/>
      <c r="P333"/>
      <c r="Q333"/>
      <c r="R333"/>
      <c r="S333"/>
    </row>
    <row r="334" spans="1:19">
      <c r="A334"/>
      <c r="B334"/>
      <c r="C334"/>
      <c r="D334"/>
      <c r="E334"/>
      <c r="F334"/>
      <c r="G334"/>
      <c r="H334"/>
      <c r="I334"/>
      <c r="J334"/>
      <c r="K334"/>
      <c r="L334"/>
      <c r="M334"/>
      <c r="N334"/>
      <c r="O334"/>
      <c r="P334"/>
      <c r="Q334"/>
      <c r="R334"/>
      <c r="S334"/>
    </row>
    <row r="335" spans="1:19">
      <c r="A335"/>
      <c r="B335"/>
      <c r="C335"/>
      <c r="D335"/>
      <c r="E335"/>
      <c r="F335"/>
      <c r="G335"/>
      <c r="H335"/>
      <c r="I335"/>
      <c r="J335"/>
      <c r="K335"/>
      <c r="L335"/>
      <c r="M335"/>
      <c r="N335"/>
      <c r="O335"/>
      <c r="P335"/>
      <c r="Q335"/>
      <c r="R335"/>
      <c r="S335"/>
    </row>
    <row r="336" spans="1:19">
      <c r="A336"/>
      <c r="B336"/>
      <c r="C336"/>
      <c r="D336"/>
      <c r="E336"/>
      <c r="F336"/>
      <c r="G336"/>
      <c r="H336"/>
      <c r="I336"/>
      <c r="J336"/>
      <c r="K336"/>
      <c r="L336"/>
      <c r="M336"/>
      <c r="N336"/>
      <c r="O336"/>
      <c r="P336"/>
      <c r="Q336"/>
      <c r="R336"/>
      <c r="S336"/>
    </row>
    <row r="337" spans="1:19">
      <c r="A337"/>
      <c r="B337"/>
      <c r="C337"/>
      <c r="D337"/>
      <c r="E337"/>
      <c r="F337"/>
      <c r="G337"/>
      <c r="H337"/>
      <c r="I337"/>
      <c r="J337"/>
      <c r="K337"/>
      <c r="L337"/>
      <c r="M337"/>
      <c r="N337"/>
      <c r="O337"/>
      <c r="P337"/>
      <c r="Q337"/>
      <c r="R337"/>
      <c r="S337"/>
    </row>
    <row r="338" spans="1:19">
      <c r="A338"/>
      <c r="B338"/>
      <c r="C338"/>
      <c r="D338"/>
      <c r="E338"/>
      <c r="F338"/>
      <c r="G338"/>
      <c r="H338"/>
      <c r="I338"/>
      <c r="J338"/>
      <c r="K338"/>
      <c r="L338"/>
      <c r="M338"/>
      <c r="N338"/>
      <c r="O338"/>
      <c r="P338"/>
      <c r="Q338"/>
      <c r="R338"/>
      <c r="S338"/>
    </row>
    <row r="339" spans="1:19">
      <c r="A339"/>
      <c r="B339"/>
      <c r="C339"/>
      <c r="D339"/>
      <c r="E339"/>
      <c r="F339"/>
      <c r="G339"/>
      <c r="H339"/>
      <c r="I339"/>
      <c r="J339"/>
      <c r="K339"/>
      <c r="L339"/>
      <c r="M339"/>
      <c r="N339"/>
      <c r="O339"/>
      <c r="P339"/>
      <c r="Q339"/>
      <c r="R339"/>
      <c r="S339"/>
    </row>
    <row r="340" spans="1:19">
      <c r="A340"/>
      <c r="B340"/>
      <c r="C340"/>
      <c r="D340"/>
      <c r="E340"/>
      <c r="F340"/>
      <c r="G340"/>
      <c r="H340"/>
      <c r="I340"/>
      <c r="J340"/>
      <c r="K340"/>
      <c r="L340"/>
      <c r="M340"/>
      <c r="N340"/>
      <c r="O340"/>
      <c r="P340"/>
      <c r="Q340"/>
      <c r="R340"/>
      <c r="S340"/>
    </row>
    <row r="341" spans="1:19">
      <c r="A341"/>
      <c r="B341"/>
      <c r="C341"/>
      <c r="D341"/>
      <c r="E341"/>
      <c r="F341"/>
      <c r="G341"/>
      <c r="H341"/>
      <c r="I341"/>
      <c r="J341"/>
      <c r="K341"/>
      <c r="L341"/>
      <c r="M341"/>
      <c r="N341"/>
      <c r="O341"/>
      <c r="P341"/>
      <c r="Q341"/>
      <c r="R341"/>
      <c r="S341"/>
    </row>
    <row r="342" spans="1:19">
      <c r="A342"/>
      <c r="B342"/>
      <c r="C342"/>
      <c r="D342"/>
      <c r="E342"/>
      <c r="F342"/>
      <c r="G342"/>
      <c r="H342"/>
      <c r="I342"/>
      <c r="J342"/>
      <c r="K342"/>
      <c r="L342"/>
      <c r="M342"/>
      <c r="N342"/>
      <c r="O342"/>
      <c r="P342"/>
      <c r="Q342"/>
      <c r="R342"/>
      <c r="S342"/>
    </row>
    <row r="343" spans="1:19">
      <c r="A343"/>
      <c r="B343"/>
      <c r="C343"/>
      <c r="D343"/>
      <c r="E343"/>
      <c r="F343"/>
      <c r="G343"/>
      <c r="H343"/>
      <c r="I343"/>
      <c r="J343"/>
      <c r="K343"/>
      <c r="L343"/>
      <c r="M343"/>
      <c r="N343"/>
      <c r="O343"/>
      <c r="P343"/>
      <c r="Q343"/>
      <c r="R343"/>
      <c r="S343"/>
    </row>
    <row r="344" spans="1:19">
      <c r="A344"/>
      <c r="B344"/>
      <c r="C344"/>
      <c r="D344"/>
      <c r="E344"/>
      <c r="F344"/>
      <c r="G344"/>
      <c r="H344"/>
      <c r="I344"/>
      <c r="J344"/>
      <c r="K344"/>
      <c r="L344"/>
      <c r="M344"/>
      <c r="N344"/>
      <c r="O344"/>
      <c r="P344"/>
      <c r="Q344"/>
      <c r="R344"/>
      <c r="S344"/>
    </row>
    <row r="345" spans="1:19">
      <c r="A345"/>
      <c r="B345"/>
      <c r="C345"/>
      <c r="D345"/>
      <c r="E345"/>
      <c r="F345"/>
      <c r="G345"/>
      <c r="H345"/>
      <c r="I345"/>
      <c r="J345"/>
      <c r="K345"/>
      <c r="L345"/>
      <c r="M345"/>
      <c r="N345"/>
      <c r="O345"/>
      <c r="P345"/>
      <c r="Q345"/>
      <c r="R345"/>
      <c r="S345"/>
    </row>
    <row r="346" spans="1:19">
      <c r="A346"/>
      <c r="B346"/>
      <c r="C346"/>
      <c r="D346"/>
      <c r="E346"/>
      <c r="F346"/>
      <c r="G346"/>
      <c r="H346"/>
      <c r="I346"/>
      <c r="J346"/>
      <c r="K346"/>
      <c r="L346"/>
      <c r="M346"/>
      <c r="N346"/>
      <c r="O346"/>
      <c r="P346"/>
      <c r="Q346"/>
      <c r="R346"/>
      <c r="S346"/>
    </row>
    <row r="347" spans="1:19">
      <c r="A347"/>
      <c r="B347"/>
      <c r="C347"/>
      <c r="D347"/>
      <c r="E347"/>
      <c r="F347"/>
      <c r="G347"/>
      <c r="H347"/>
      <c r="I347"/>
      <c r="J347"/>
      <c r="K347"/>
      <c r="L347"/>
      <c r="M347"/>
      <c r="N347"/>
      <c r="O347"/>
      <c r="P347"/>
      <c r="Q347"/>
      <c r="R347"/>
      <c r="S347"/>
    </row>
    <row r="348" spans="1:19">
      <c r="A348"/>
      <c r="B348"/>
      <c r="C348"/>
      <c r="D348"/>
      <c r="E348"/>
      <c r="F348"/>
      <c r="G348"/>
      <c r="H348"/>
      <c r="I348"/>
      <c r="J348"/>
      <c r="K348"/>
      <c r="L348"/>
      <c r="M348"/>
      <c r="N348"/>
      <c r="O348"/>
      <c r="P348"/>
      <c r="Q348"/>
      <c r="R348"/>
      <c r="S348"/>
    </row>
    <row r="349" spans="1:19">
      <c r="A349"/>
      <c r="B349"/>
      <c r="C349"/>
      <c r="D349"/>
      <c r="E349"/>
      <c r="F349"/>
      <c r="G349"/>
      <c r="H349"/>
      <c r="I349"/>
      <c r="J349"/>
      <c r="K349"/>
      <c r="L349"/>
      <c r="M349"/>
      <c r="N349"/>
      <c r="O349"/>
      <c r="P349"/>
      <c r="Q349"/>
      <c r="R349"/>
      <c r="S349"/>
    </row>
    <row r="350" spans="1:19">
      <c r="A350"/>
      <c r="B350"/>
      <c r="C350"/>
      <c r="D350"/>
      <c r="E350"/>
      <c r="F350"/>
      <c r="G350"/>
      <c r="H350"/>
      <c r="I350"/>
      <c r="J350"/>
      <c r="K350"/>
      <c r="L350"/>
      <c r="M350"/>
      <c r="N350"/>
      <c r="O350"/>
      <c r="P350"/>
      <c r="Q350"/>
      <c r="R350"/>
      <c r="S350"/>
    </row>
    <row r="351" spans="1:19">
      <c r="A351"/>
      <c r="B351"/>
      <c r="C351"/>
      <c r="D351"/>
      <c r="E351"/>
      <c r="F351"/>
      <c r="G351"/>
      <c r="H351"/>
      <c r="I351"/>
      <c r="J351"/>
      <c r="K351"/>
      <c r="L351"/>
      <c r="M351"/>
      <c r="N351"/>
      <c r="O351"/>
      <c r="P351"/>
      <c r="Q351"/>
      <c r="R351"/>
      <c r="S351"/>
    </row>
    <row r="352" spans="1:19">
      <c r="A352"/>
      <c r="B352"/>
      <c r="C352"/>
      <c r="D352"/>
      <c r="E352"/>
      <c r="F352"/>
      <c r="G352"/>
      <c r="H352"/>
      <c r="I352"/>
      <c r="J352"/>
      <c r="K352"/>
      <c r="L352"/>
      <c r="M352"/>
      <c r="N352"/>
      <c r="O352"/>
      <c r="P352"/>
      <c r="Q352"/>
      <c r="R352"/>
      <c r="S352"/>
    </row>
    <row r="353" spans="1:19">
      <c r="A353"/>
      <c r="B353"/>
      <c r="C353"/>
      <c r="D353"/>
      <c r="E353"/>
      <c r="F353"/>
      <c r="G353"/>
      <c r="H353"/>
      <c r="I353"/>
      <c r="J353"/>
      <c r="K353"/>
      <c r="L353"/>
      <c r="M353"/>
      <c r="N353"/>
      <c r="O353"/>
      <c r="P353"/>
      <c r="Q353"/>
      <c r="R353"/>
      <c r="S353"/>
    </row>
    <row r="354" spans="1:19">
      <c r="A354"/>
      <c r="B354"/>
      <c r="C354"/>
      <c r="D354"/>
      <c r="E354"/>
      <c r="F354"/>
      <c r="G354"/>
      <c r="H354"/>
      <c r="I354"/>
      <c r="J354"/>
      <c r="K354"/>
      <c r="L354"/>
      <c r="M354"/>
      <c r="N354"/>
      <c r="O354"/>
      <c r="P354"/>
      <c r="Q354"/>
      <c r="R354"/>
      <c r="S354"/>
    </row>
    <row r="355" spans="1:19">
      <c r="A355"/>
      <c r="B355"/>
      <c r="C355"/>
      <c r="D355"/>
      <c r="E355"/>
      <c r="F355"/>
      <c r="G355"/>
      <c r="H355"/>
      <c r="I355"/>
      <c r="J355"/>
      <c r="K355"/>
      <c r="L355"/>
      <c r="M355"/>
      <c r="N355"/>
      <c r="O355"/>
      <c r="P355"/>
      <c r="Q355"/>
      <c r="R355"/>
      <c r="S355"/>
    </row>
    <row r="356" spans="1:19">
      <c r="A356"/>
      <c r="B356"/>
      <c r="C356"/>
      <c r="D356"/>
      <c r="E356"/>
      <c r="F356"/>
      <c r="G356"/>
      <c r="H356"/>
      <c r="I356"/>
      <c r="J356"/>
      <c r="K356"/>
      <c r="L356"/>
      <c r="M356"/>
      <c r="N356"/>
      <c r="O356"/>
      <c r="P356"/>
      <c r="Q356"/>
      <c r="R356"/>
      <c r="S356"/>
    </row>
    <row r="357" spans="1:19">
      <c r="A357"/>
      <c r="B357"/>
      <c r="C357"/>
      <c r="D357"/>
      <c r="E357"/>
      <c r="F357"/>
      <c r="G357"/>
      <c r="H357"/>
      <c r="I357"/>
      <c r="J357"/>
      <c r="K357"/>
      <c r="L357"/>
      <c r="M357"/>
      <c r="N357"/>
      <c r="O357"/>
      <c r="P357"/>
      <c r="Q357"/>
      <c r="R357"/>
      <c r="S357"/>
    </row>
    <row r="358" spans="1:19">
      <c r="A358"/>
      <c r="B358"/>
      <c r="C358"/>
      <c r="D358"/>
      <c r="E358"/>
      <c r="F358"/>
      <c r="G358"/>
      <c r="H358"/>
      <c r="I358"/>
      <c r="J358"/>
      <c r="K358"/>
      <c r="L358"/>
      <c r="M358"/>
      <c r="N358"/>
      <c r="O358"/>
      <c r="P358"/>
      <c r="Q358"/>
      <c r="R358"/>
      <c r="S358"/>
    </row>
    <row r="359" spans="1:19">
      <c r="A359"/>
      <c r="B359"/>
      <c r="C359"/>
      <c r="D359"/>
      <c r="E359"/>
      <c r="F359"/>
      <c r="G359"/>
      <c r="H359"/>
      <c r="I359"/>
      <c r="J359"/>
      <c r="K359"/>
      <c r="L359"/>
      <c r="M359"/>
      <c r="N359"/>
      <c r="O359"/>
      <c r="P359"/>
      <c r="Q359"/>
      <c r="R359"/>
      <c r="S359"/>
    </row>
    <row r="360" spans="1:19">
      <c r="A360"/>
      <c r="B360"/>
      <c r="C360"/>
      <c r="D360"/>
      <c r="E360"/>
      <c r="F360"/>
      <c r="G360"/>
      <c r="H360"/>
      <c r="I360"/>
      <c r="J360"/>
      <c r="K360"/>
      <c r="L360"/>
      <c r="M360"/>
      <c r="N360"/>
      <c r="O360"/>
      <c r="P360"/>
      <c r="Q360"/>
      <c r="R360"/>
      <c r="S360"/>
    </row>
    <row r="361" spans="1:19">
      <c r="A361"/>
      <c r="B361"/>
      <c r="C361"/>
      <c r="D361"/>
      <c r="E361"/>
      <c r="F361"/>
      <c r="G361"/>
      <c r="H361"/>
      <c r="I361"/>
      <c r="J361"/>
      <c r="K361"/>
      <c r="L361"/>
      <c r="M361"/>
      <c r="N361"/>
      <c r="O361"/>
      <c r="P361"/>
      <c r="Q361"/>
      <c r="R361"/>
      <c r="S361"/>
    </row>
    <row r="362" spans="1:19">
      <c r="A362"/>
      <c r="B362"/>
      <c r="C362"/>
      <c r="D362"/>
      <c r="E362"/>
      <c r="F362"/>
      <c r="G362"/>
      <c r="H362"/>
      <c r="I362"/>
      <c r="J362"/>
      <c r="K362"/>
      <c r="L362"/>
      <c r="M362"/>
      <c r="N362"/>
      <c r="O362"/>
      <c r="P362"/>
      <c r="Q362"/>
      <c r="R362"/>
      <c r="S362"/>
    </row>
    <row r="363" spans="1:19">
      <c r="A363"/>
      <c r="B363"/>
      <c r="C363"/>
      <c r="D363"/>
      <c r="E363"/>
      <c r="F363"/>
      <c r="G363"/>
      <c r="H363"/>
      <c r="I363"/>
      <c r="J363"/>
      <c r="K363"/>
      <c r="L363"/>
      <c r="M363"/>
      <c r="N363"/>
      <c r="O363"/>
      <c r="P363"/>
      <c r="Q363"/>
      <c r="R363"/>
      <c r="S363"/>
    </row>
    <row r="364" spans="1:19">
      <c r="A364"/>
      <c r="B364"/>
      <c r="C364"/>
      <c r="D364"/>
      <c r="E364"/>
      <c r="F364"/>
      <c r="G364"/>
      <c r="H364"/>
      <c r="I364"/>
      <c r="J364"/>
      <c r="K364"/>
      <c r="L364"/>
      <c r="M364"/>
      <c r="N364"/>
      <c r="O364"/>
      <c r="P364"/>
      <c r="Q364"/>
      <c r="R364"/>
      <c r="S364"/>
    </row>
    <row r="365" spans="1:19">
      <c r="A365"/>
      <c r="B365"/>
      <c r="C365"/>
      <c r="D365"/>
      <c r="E365"/>
      <c r="F365"/>
      <c r="G365"/>
      <c r="H365"/>
      <c r="I365"/>
      <c r="J365"/>
      <c r="K365"/>
      <c r="L365"/>
      <c r="M365"/>
      <c r="N365"/>
      <c r="O365"/>
      <c r="P365"/>
      <c r="Q365"/>
      <c r="R365"/>
      <c r="S365"/>
    </row>
    <row r="366" spans="1:19">
      <c r="A366"/>
      <c r="B366"/>
      <c r="C366"/>
      <c r="D366"/>
      <c r="E366"/>
      <c r="F366"/>
      <c r="G366"/>
      <c r="H366"/>
      <c r="I366"/>
      <c r="J366"/>
      <c r="K366"/>
      <c r="L366"/>
      <c r="M366"/>
      <c r="N366"/>
      <c r="O366"/>
      <c r="P366"/>
      <c r="Q366"/>
      <c r="R366"/>
      <c r="S366"/>
    </row>
    <row r="367" spans="1:19">
      <c r="A367"/>
      <c r="B367"/>
      <c r="C367"/>
      <c r="D367"/>
      <c r="E367"/>
      <c r="F367"/>
      <c r="G367"/>
      <c r="H367"/>
      <c r="I367"/>
      <c r="J367"/>
      <c r="K367"/>
      <c r="L367"/>
      <c r="M367"/>
      <c r="N367"/>
      <c r="O367"/>
      <c r="P367"/>
      <c r="Q367"/>
      <c r="R367"/>
      <c r="S367"/>
    </row>
    <row r="368" spans="1:19">
      <c r="A368"/>
      <c r="B368"/>
      <c r="C368"/>
      <c r="D368"/>
      <c r="E368"/>
      <c r="F368"/>
      <c r="G368"/>
      <c r="H368"/>
      <c r="I368"/>
      <c r="J368"/>
      <c r="K368"/>
      <c r="L368"/>
      <c r="M368"/>
      <c r="N368"/>
      <c r="O368"/>
      <c r="P368"/>
      <c r="Q368"/>
      <c r="R368"/>
      <c r="S368"/>
    </row>
    <row r="369" spans="1:19">
      <c r="A369"/>
      <c r="B369"/>
      <c r="C369"/>
      <c r="D369"/>
      <c r="E369"/>
      <c r="F369"/>
      <c r="G369"/>
      <c r="H369"/>
      <c r="I369"/>
      <c r="J369"/>
      <c r="K369"/>
      <c r="L369"/>
      <c r="M369"/>
      <c r="N369"/>
      <c r="O369"/>
      <c r="P369"/>
      <c r="Q369"/>
      <c r="R369"/>
      <c r="S369"/>
    </row>
    <row r="370" spans="1:19">
      <c r="A370"/>
      <c r="B370"/>
      <c r="C370"/>
      <c r="D370"/>
      <c r="E370"/>
      <c r="F370"/>
      <c r="G370"/>
      <c r="H370"/>
      <c r="I370"/>
      <c r="J370"/>
      <c r="K370"/>
      <c r="L370"/>
      <c r="M370"/>
      <c r="N370"/>
      <c r="O370"/>
      <c r="P370"/>
      <c r="Q370"/>
      <c r="R370"/>
      <c r="S370"/>
    </row>
    <row r="371" spans="1:19">
      <c r="A371"/>
      <c r="B371"/>
      <c r="C371"/>
      <c r="D371"/>
      <c r="E371"/>
      <c r="F371"/>
      <c r="G371"/>
      <c r="H371"/>
      <c r="I371"/>
      <c r="J371"/>
      <c r="K371"/>
      <c r="L371"/>
      <c r="M371"/>
      <c r="N371"/>
      <c r="O371"/>
      <c r="P371"/>
      <c r="Q371"/>
      <c r="R371"/>
      <c r="S371"/>
    </row>
    <row r="372" spans="1:19">
      <c r="A372"/>
      <c r="B372"/>
      <c r="C372"/>
      <c r="D372"/>
      <c r="E372"/>
      <c r="F372"/>
      <c r="G372"/>
      <c r="H372"/>
      <c r="I372"/>
      <c r="J372"/>
      <c r="K372"/>
      <c r="L372"/>
      <c r="M372"/>
      <c r="N372"/>
      <c r="O372"/>
      <c r="P372"/>
      <c r="Q372"/>
      <c r="R372"/>
      <c r="S372"/>
    </row>
    <row r="373" spans="1:19">
      <c r="A373"/>
      <c r="B373"/>
      <c r="C373"/>
      <c r="D373"/>
      <c r="E373"/>
      <c r="F373"/>
      <c r="G373"/>
      <c r="H373"/>
      <c r="I373"/>
      <c r="J373"/>
      <c r="K373"/>
      <c r="L373"/>
      <c r="M373"/>
      <c r="N373"/>
      <c r="O373"/>
      <c r="P373"/>
      <c r="Q373"/>
      <c r="R373"/>
      <c r="S373"/>
    </row>
    <row r="374" spans="1:19">
      <c r="A374"/>
      <c r="B374"/>
      <c r="C374"/>
      <c r="D374"/>
      <c r="E374"/>
      <c r="F374"/>
      <c r="G374"/>
      <c r="H374"/>
      <c r="I374"/>
      <c r="J374"/>
      <c r="K374"/>
      <c r="L374"/>
      <c r="M374"/>
      <c r="N374"/>
      <c r="O374"/>
      <c r="P374"/>
      <c r="Q374"/>
      <c r="R374"/>
      <c r="S374"/>
    </row>
    <row r="375" spans="1:19">
      <c r="A375"/>
      <c r="B375"/>
      <c r="C375"/>
      <c r="D375"/>
      <c r="E375"/>
      <c r="F375"/>
      <c r="G375"/>
      <c r="H375"/>
      <c r="I375"/>
      <c r="J375"/>
      <c r="K375"/>
      <c r="L375"/>
      <c r="M375"/>
      <c r="N375"/>
      <c r="O375"/>
      <c r="P375"/>
      <c r="Q375"/>
      <c r="R375"/>
      <c r="S375"/>
    </row>
    <row r="376" spans="1:19">
      <c r="A376"/>
      <c r="B376"/>
      <c r="C376"/>
      <c r="D376"/>
      <c r="E376"/>
      <c r="F376"/>
      <c r="G376"/>
      <c r="H376"/>
      <c r="I376"/>
      <c r="J376"/>
      <c r="K376"/>
      <c r="L376"/>
      <c r="M376"/>
      <c r="N376"/>
      <c r="O376"/>
      <c r="P376"/>
      <c r="Q376"/>
      <c r="R376"/>
      <c r="S376"/>
    </row>
    <row r="377" spans="1:19">
      <c r="A377"/>
      <c r="B377"/>
      <c r="C377"/>
      <c r="D377"/>
      <c r="E377"/>
      <c r="F377"/>
      <c r="G377"/>
      <c r="H377"/>
      <c r="I377"/>
      <c r="J377"/>
      <c r="K377"/>
      <c r="L377"/>
      <c r="M377"/>
      <c r="N377"/>
      <c r="O377"/>
      <c r="P377"/>
      <c r="Q377"/>
      <c r="R377"/>
      <c r="S377"/>
    </row>
    <row r="378" spans="1:19">
      <c r="A378"/>
      <c r="B378"/>
      <c r="C378"/>
      <c r="D378"/>
      <c r="E378"/>
      <c r="F378"/>
      <c r="G378"/>
      <c r="H378"/>
      <c r="I378"/>
      <c r="J378"/>
      <c r="K378"/>
      <c r="L378"/>
      <c r="M378"/>
      <c r="N378"/>
      <c r="O378"/>
      <c r="P378"/>
      <c r="Q378"/>
      <c r="R378"/>
      <c r="S378"/>
    </row>
    <row r="379" spans="1:19">
      <c r="A379"/>
      <c r="B379"/>
      <c r="C379"/>
      <c r="D379"/>
      <c r="E379"/>
      <c r="F379"/>
      <c r="G379"/>
      <c r="H379"/>
      <c r="I379"/>
      <c r="J379"/>
      <c r="K379"/>
      <c r="L379"/>
      <c r="M379"/>
      <c r="N379"/>
      <c r="O379"/>
      <c r="P379"/>
      <c r="Q379"/>
      <c r="R379"/>
      <c r="S379"/>
    </row>
    <row r="380" spans="1:19">
      <c r="A380"/>
      <c r="B380"/>
      <c r="C380"/>
      <c r="D380"/>
      <c r="E380"/>
      <c r="F380"/>
      <c r="G380"/>
      <c r="H380"/>
      <c r="I380"/>
      <c r="J380"/>
      <c r="K380"/>
      <c r="L380"/>
      <c r="M380"/>
      <c r="N380"/>
      <c r="O380"/>
      <c r="P380"/>
      <c r="Q380"/>
      <c r="R380"/>
      <c r="S380"/>
    </row>
    <row r="381" spans="1:19">
      <c r="A381"/>
      <c r="B381"/>
      <c r="C381"/>
      <c r="D381"/>
      <c r="E381"/>
      <c r="F381"/>
      <c r="G381"/>
      <c r="H381"/>
      <c r="I381"/>
      <c r="J381"/>
      <c r="K381"/>
      <c r="L381"/>
      <c r="M381"/>
      <c r="N381"/>
      <c r="O381"/>
      <c r="P381"/>
      <c r="Q381"/>
      <c r="R381"/>
      <c r="S381"/>
    </row>
    <row r="382" spans="1:19">
      <c r="A382"/>
      <c r="B382"/>
      <c r="C382"/>
      <c r="D382"/>
      <c r="E382"/>
      <c r="F382"/>
      <c r="G382"/>
      <c r="H382"/>
      <c r="I382"/>
      <c r="J382"/>
      <c r="K382"/>
      <c r="L382"/>
      <c r="M382"/>
      <c r="N382"/>
      <c r="O382"/>
      <c r="P382"/>
      <c r="Q382"/>
      <c r="R382"/>
      <c r="S382"/>
    </row>
    <row r="383" spans="1:19">
      <c r="A383"/>
      <c r="B383"/>
      <c r="C383"/>
      <c r="D383"/>
      <c r="E383"/>
      <c r="F383"/>
      <c r="G383"/>
      <c r="H383"/>
      <c r="I383"/>
      <c r="J383"/>
      <c r="K383"/>
      <c r="L383"/>
      <c r="M383"/>
      <c r="N383"/>
      <c r="O383"/>
      <c r="P383"/>
      <c r="Q383"/>
      <c r="R383"/>
      <c r="S383"/>
    </row>
    <row r="384" spans="1:19">
      <c r="A384"/>
      <c r="B384"/>
      <c r="C384"/>
      <c r="D384"/>
      <c r="E384"/>
      <c r="F384"/>
      <c r="G384"/>
      <c r="H384"/>
      <c r="I384"/>
      <c r="J384"/>
      <c r="K384"/>
      <c r="L384"/>
      <c r="M384"/>
      <c r="N384"/>
      <c r="O384"/>
      <c r="P384"/>
      <c r="Q384"/>
      <c r="R384"/>
      <c r="S384"/>
    </row>
    <row r="385" spans="1:19">
      <c r="A385"/>
      <c r="B385"/>
      <c r="C385"/>
      <c r="D385"/>
      <c r="E385"/>
      <c r="F385"/>
      <c r="G385"/>
      <c r="H385"/>
      <c r="I385"/>
      <c r="J385"/>
      <c r="K385"/>
      <c r="L385"/>
      <c r="M385"/>
      <c r="N385"/>
      <c r="O385"/>
      <c r="P385"/>
      <c r="Q385"/>
      <c r="R385"/>
      <c r="S385"/>
    </row>
    <row r="386" spans="1:19">
      <c r="A386"/>
      <c r="B386"/>
      <c r="C386"/>
      <c r="D386"/>
      <c r="E386"/>
      <c r="F386"/>
      <c r="G386"/>
      <c r="H386"/>
      <c r="I386"/>
      <c r="J386"/>
      <c r="K386"/>
      <c r="L386"/>
      <c r="M386"/>
      <c r="N386"/>
      <c r="O386"/>
      <c r="P386"/>
      <c r="Q386"/>
      <c r="R386"/>
      <c r="S386"/>
    </row>
    <row r="387" spans="1:19">
      <c r="A387"/>
      <c r="B387"/>
      <c r="C387"/>
      <c r="D387"/>
      <c r="E387"/>
      <c r="F387"/>
      <c r="G387"/>
      <c r="H387"/>
      <c r="I387"/>
      <c r="J387"/>
      <c r="K387"/>
      <c r="L387"/>
      <c r="M387"/>
      <c r="N387"/>
      <c r="O387"/>
      <c r="P387"/>
      <c r="Q387"/>
      <c r="R387"/>
      <c r="S387"/>
    </row>
    <row r="388" spans="1:19">
      <c r="A388"/>
      <c r="B388"/>
      <c r="C388"/>
      <c r="D388"/>
      <c r="E388"/>
      <c r="F388"/>
      <c r="G388"/>
      <c r="H388"/>
      <c r="I388"/>
      <c r="J388"/>
      <c r="K388"/>
      <c r="L388"/>
      <c r="M388"/>
      <c r="N388"/>
      <c r="O388"/>
      <c r="P388"/>
      <c r="Q388"/>
      <c r="R388"/>
      <c r="S388"/>
    </row>
    <row r="389" spans="1:19">
      <c r="A389"/>
      <c r="B389"/>
      <c r="C389"/>
      <c r="D389"/>
      <c r="E389"/>
      <c r="F389"/>
      <c r="G389"/>
      <c r="H389"/>
      <c r="I389"/>
      <c r="J389"/>
      <c r="K389"/>
      <c r="L389"/>
      <c r="M389"/>
      <c r="N389"/>
      <c r="O389"/>
      <c r="P389"/>
      <c r="Q389"/>
      <c r="R389"/>
      <c r="S389"/>
    </row>
    <row r="390" spans="1:19">
      <c r="A390"/>
      <c r="B390"/>
      <c r="C390"/>
      <c r="D390"/>
      <c r="E390"/>
      <c r="F390"/>
      <c r="G390"/>
      <c r="H390"/>
      <c r="I390"/>
      <c r="J390"/>
      <c r="K390"/>
      <c r="L390"/>
      <c r="M390"/>
      <c r="N390"/>
      <c r="O390"/>
      <c r="P390"/>
      <c r="Q390"/>
      <c r="R390"/>
      <c r="S390"/>
    </row>
    <row r="391" spans="1:19">
      <c r="A391"/>
      <c r="B391"/>
      <c r="C391"/>
      <c r="D391"/>
      <c r="E391"/>
      <c r="F391"/>
      <c r="G391"/>
      <c r="H391"/>
      <c r="I391"/>
      <c r="J391"/>
      <c r="K391"/>
      <c r="L391"/>
      <c r="M391"/>
      <c r="N391"/>
      <c r="O391"/>
      <c r="P391"/>
      <c r="Q391"/>
      <c r="R391"/>
      <c r="S391"/>
    </row>
    <row r="392" spans="1:19">
      <c r="A392"/>
      <c r="B392"/>
      <c r="C392"/>
      <c r="D392"/>
      <c r="E392"/>
      <c r="F392"/>
      <c r="G392"/>
      <c r="H392"/>
      <c r="I392"/>
      <c r="J392"/>
      <c r="K392"/>
      <c r="L392"/>
      <c r="M392"/>
      <c r="N392"/>
      <c r="O392"/>
      <c r="P392"/>
      <c r="Q392"/>
      <c r="R392"/>
      <c r="S392"/>
    </row>
    <row r="393" spans="1:19">
      <c r="A393"/>
      <c r="B393"/>
      <c r="C393"/>
      <c r="D393"/>
      <c r="E393"/>
      <c r="F393"/>
      <c r="G393"/>
      <c r="H393"/>
      <c r="I393"/>
      <c r="J393"/>
      <c r="K393"/>
      <c r="L393"/>
      <c r="M393"/>
      <c r="N393"/>
      <c r="O393"/>
      <c r="P393"/>
      <c r="Q393"/>
      <c r="R393"/>
      <c r="S393"/>
    </row>
    <row r="394" spans="1:19">
      <c r="A394"/>
      <c r="B394"/>
      <c r="C394"/>
      <c r="D394"/>
      <c r="E394"/>
      <c r="F394"/>
      <c r="G394"/>
      <c r="H394"/>
      <c r="I394"/>
      <c r="J394"/>
      <c r="K394"/>
      <c r="L394"/>
      <c r="M394"/>
      <c r="N394"/>
      <c r="O394"/>
      <c r="P394"/>
      <c r="Q394"/>
      <c r="R394"/>
      <c r="S394"/>
    </row>
    <row r="395" spans="1:19">
      <c r="A395"/>
      <c r="B395"/>
      <c r="C395"/>
      <c r="D395"/>
      <c r="E395"/>
      <c r="F395"/>
      <c r="G395"/>
      <c r="H395"/>
      <c r="I395"/>
      <c r="J395"/>
      <c r="K395"/>
      <c r="L395"/>
      <c r="M395"/>
      <c r="N395"/>
      <c r="O395"/>
      <c r="P395"/>
      <c r="Q395"/>
      <c r="R395"/>
      <c r="S395"/>
    </row>
    <row r="396" spans="1:19">
      <c r="A396"/>
      <c r="B396"/>
      <c r="C396"/>
      <c r="D396"/>
      <c r="E396"/>
      <c r="F396"/>
      <c r="G396"/>
      <c r="H396"/>
      <c r="I396"/>
      <c r="J396"/>
      <c r="K396"/>
      <c r="L396"/>
      <c r="M396"/>
      <c r="N396"/>
      <c r="O396"/>
      <c r="P396"/>
      <c r="Q396"/>
      <c r="R396"/>
      <c r="S396"/>
    </row>
    <row r="397" spans="1:19">
      <c r="A397"/>
      <c r="B397"/>
      <c r="C397"/>
      <c r="D397"/>
      <c r="E397"/>
      <c r="F397"/>
      <c r="G397"/>
      <c r="H397"/>
      <c r="I397"/>
      <c r="J397"/>
      <c r="K397"/>
      <c r="L397"/>
      <c r="M397"/>
      <c r="N397"/>
      <c r="O397"/>
      <c r="P397"/>
      <c r="Q397"/>
      <c r="R397"/>
      <c r="S397"/>
    </row>
    <row r="398" spans="1:19">
      <c r="A398"/>
      <c r="B398"/>
      <c r="C398"/>
      <c r="D398"/>
      <c r="E398"/>
      <c r="F398"/>
      <c r="G398"/>
      <c r="H398"/>
      <c r="I398"/>
      <c r="J398"/>
      <c r="K398"/>
      <c r="L398"/>
      <c r="M398"/>
      <c r="N398"/>
      <c r="O398"/>
      <c r="P398"/>
      <c r="Q398"/>
      <c r="R398"/>
      <c r="S398"/>
    </row>
    <row r="399" spans="1:19">
      <c r="A399"/>
      <c r="B399"/>
      <c r="C399"/>
      <c r="D399"/>
      <c r="E399"/>
      <c r="F399"/>
      <c r="G399"/>
      <c r="H399"/>
      <c r="I399"/>
      <c r="J399"/>
      <c r="K399"/>
      <c r="L399"/>
      <c r="M399"/>
      <c r="N399"/>
      <c r="O399"/>
      <c r="P399"/>
      <c r="Q399"/>
      <c r="R399"/>
      <c r="S399"/>
    </row>
    <row r="400" spans="1:19">
      <c r="A400"/>
      <c r="B400"/>
      <c r="C400"/>
      <c r="D400"/>
      <c r="E400"/>
      <c r="F400"/>
      <c r="G400"/>
      <c r="H400"/>
      <c r="I400"/>
      <c r="J400"/>
      <c r="K400"/>
      <c r="L400"/>
      <c r="M400"/>
      <c r="N400"/>
      <c r="O400"/>
      <c r="P400"/>
      <c r="Q400"/>
      <c r="R400"/>
      <c r="S400"/>
    </row>
    <row r="401" spans="1:19">
      <c r="A401"/>
      <c r="B401"/>
      <c r="C401"/>
      <c r="D401"/>
      <c r="E401"/>
      <c r="F401"/>
      <c r="G401"/>
      <c r="H401"/>
      <c r="I401"/>
      <c r="J401"/>
      <c r="K401"/>
      <c r="L401"/>
      <c r="M401"/>
      <c r="N401"/>
      <c r="O401"/>
      <c r="P401"/>
      <c r="Q401"/>
      <c r="R401"/>
      <c r="S401"/>
    </row>
    <row r="402" spans="1:19">
      <c r="A402"/>
      <c r="B402"/>
      <c r="C402"/>
      <c r="D402"/>
      <c r="E402"/>
      <c r="F402"/>
      <c r="G402"/>
      <c r="H402"/>
      <c r="I402"/>
      <c r="J402"/>
      <c r="K402"/>
      <c r="L402"/>
      <c r="M402"/>
      <c r="N402"/>
      <c r="O402"/>
      <c r="P402"/>
      <c r="Q402"/>
      <c r="R402"/>
      <c r="S402"/>
    </row>
    <row r="403" spans="1:19">
      <c r="A403"/>
      <c r="B403"/>
      <c r="C403"/>
      <c r="D403"/>
      <c r="E403"/>
      <c r="F403"/>
      <c r="G403"/>
      <c r="H403"/>
      <c r="I403"/>
      <c r="J403"/>
      <c r="K403"/>
      <c r="L403"/>
      <c r="M403"/>
      <c r="N403"/>
      <c r="O403"/>
      <c r="P403"/>
      <c r="Q403"/>
      <c r="R403"/>
      <c r="S403"/>
    </row>
    <row r="404" spans="1:19">
      <c r="A404"/>
      <c r="B404"/>
      <c r="C404"/>
      <c r="D404"/>
      <c r="E404"/>
      <c r="F404"/>
      <c r="G404"/>
      <c r="H404"/>
      <c r="I404"/>
      <c r="J404"/>
      <c r="K404"/>
      <c r="L404"/>
      <c r="M404"/>
      <c r="N404"/>
      <c r="O404"/>
      <c r="P404"/>
      <c r="Q404"/>
      <c r="R404"/>
      <c r="S404"/>
    </row>
    <row r="405" spans="1:19">
      <c r="A405"/>
      <c r="B405"/>
      <c r="C405"/>
      <c r="D405"/>
      <c r="E405"/>
      <c r="F405"/>
      <c r="G405"/>
      <c r="H405"/>
      <c r="I405"/>
      <c r="J405"/>
      <c r="K405"/>
      <c r="L405"/>
      <c r="M405"/>
      <c r="N405"/>
      <c r="O405"/>
      <c r="P405"/>
      <c r="Q405"/>
      <c r="R405"/>
      <c r="S405"/>
    </row>
    <row r="406" spans="1:19">
      <c r="A406"/>
      <c r="B406"/>
      <c r="C406"/>
      <c r="D406"/>
      <c r="E406"/>
      <c r="F406"/>
      <c r="G406"/>
      <c r="H406"/>
      <c r="I406"/>
      <c r="J406"/>
      <c r="K406"/>
      <c r="L406"/>
      <c r="M406"/>
      <c r="N406"/>
      <c r="O406"/>
      <c r="P406"/>
      <c r="Q406"/>
      <c r="R406"/>
      <c r="S406"/>
    </row>
    <row r="407" spans="1:19">
      <c r="A407"/>
      <c r="B407"/>
      <c r="C407"/>
      <c r="D407"/>
      <c r="E407"/>
      <c r="F407"/>
      <c r="G407"/>
      <c r="H407"/>
      <c r="I407"/>
      <c r="J407"/>
      <c r="K407"/>
      <c r="L407"/>
      <c r="M407"/>
      <c r="N407"/>
      <c r="O407"/>
      <c r="P407"/>
      <c r="Q407"/>
      <c r="R407"/>
      <c r="S407"/>
    </row>
    <row r="408" spans="1:19">
      <c r="A408"/>
      <c r="B408"/>
      <c r="C408"/>
      <c r="D408"/>
      <c r="E408"/>
      <c r="F408"/>
      <c r="G408"/>
      <c r="H408"/>
      <c r="I408"/>
      <c r="J408"/>
      <c r="K408"/>
      <c r="L408"/>
      <c r="M408"/>
      <c r="N408"/>
      <c r="O408"/>
      <c r="P408"/>
      <c r="Q408"/>
      <c r="R408"/>
      <c r="S408"/>
    </row>
    <row r="409" spans="1:19">
      <c r="A409"/>
      <c r="B409"/>
      <c r="C409"/>
      <c r="D409"/>
      <c r="E409"/>
      <c r="F409"/>
      <c r="G409"/>
      <c r="H409"/>
      <c r="I409"/>
      <c r="J409"/>
      <c r="K409"/>
      <c r="L409"/>
      <c r="M409"/>
      <c r="N409"/>
      <c r="O409"/>
      <c r="P409"/>
      <c r="Q409"/>
      <c r="R409"/>
      <c r="S409"/>
    </row>
    <row r="410" spans="1:19">
      <c r="A410"/>
      <c r="B410"/>
      <c r="C410"/>
      <c r="D410"/>
      <c r="E410"/>
      <c r="F410"/>
      <c r="G410"/>
      <c r="H410"/>
      <c r="I410"/>
      <c r="J410"/>
      <c r="K410"/>
      <c r="L410"/>
      <c r="M410"/>
      <c r="N410"/>
      <c r="O410"/>
      <c r="P410"/>
      <c r="Q410"/>
      <c r="R410"/>
      <c r="S410"/>
    </row>
    <row r="411" spans="1:19">
      <c r="A411"/>
      <c r="B411"/>
      <c r="C411"/>
      <c r="D411"/>
      <c r="E411"/>
      <c r="F411"/>
      <c r="G411"/>
      <c r="H411"/>
      <c r="I411"/>
      <c r="J411"/>
      <c r="K411"/>
      <c r="L411"/>
      <c r="M411"/>
      <c r="N411"/>
      <c r="O411"/>
      <c r="P411"/>
      <c r="Q411"/>
      <c r="R411"/>
      <c r="S411"/>
    </row>
    <row r="412" spans="1:19">
      <c r="A412"/>
      <c r="B412"/>
      <c r="C412"/>
      <c r="D412"/>
      <c r="E412"/>
      <c r="F412"/>
      <c r="G412"/>
      <c r="H412"/>
      <c r="I412"/>
      <c r="J412"/>
      <c r="K412"/>
      <c r="L412"/>
      <c r="M412"/>
      <c r="N412"/>
      <c r="O412"/>
      <c r="P412"/>
      <c r="Q412"/>
      <c r="R412"/>
      <c r="S412"/>
    </row>
    <row r="413" spans="1:19">
      <c r="A413"/>
      <c r="B413"/>
      <c r="C413"/>
      <c r="D413"/>
      <c r="E413"/>
      <c r="F413"/>
      <c r="G413"/>
      <c r="H413"/>
      <c r="I413"/>
      <c r="J413"/>
      <c r="K413"/>
      <c r="L413"/>
      <c r="M413"/>
      <c r="N413"/>
      <c r="O413"/>
      <c r="P413"/>
      <c r="Q413"/>
      <c r="R413"/>
      <c r="S413"/>
    </row>
    <row r="414" spans="1:19">
      <c r="A414"/>
      <c r="B414"/>
      <c r="C414"/>
      <c r="D414"/>
      <c r="E414"/>
      <c r="F414"/>
      <c r="G414"/>
      <c r="H414"/>
      <c r="I414"/>
      <c r="J414"/>
      <c r="K414"/>
      <c r="L414"/>
      <c r="M414"/>
      <c r="N414"/>
      <c r="O414"/>
      <c r="P414"/>
      <c r="Q414"/>
      <c r="R414"/>
      <c r="S414"/>
    </row>
    <row r="415" spans="1:19">
      <c r="A415"/>
      <c r="B415"/>
      <c r="C415"/>
      <c r="D415"/>
      <c r="E415"/>
      <c r="F415"/>
      <c r="G415"/>
      <c r="H415"/>
      <c r="I415"/>
      <c r="J415"/>
      <c r="K415"/>
      <c r="L415"/>
      <c r="M415"/>
      <c r="N415"/>
      <c r="O415"/>
      <c r="P415"/>
      <c r="Q415"/>
      <c r="R415"/>
      <c r="S415"/>
    </row>
    <row r="416" spans="1:19">
      <c r="A416"/>
      <c r="B416"/>
      <c r="C416"/>
      <c r="D416"/>
      <c r="E416"/>
      <c r="F416"/>
      <c r="G416"/>
      <c r="H416"/>
      <c r="I416"/>
      <c r="J416"/>
      <c r="K416"/>
      <c r="L416"/>
      <c r="M416"/>
      <c r="N416"/>
      <c r="O416"/>
      <c r="P416"/>
      <c r="Q416"/>
      <c r="R416"/>
      <c r="S416"/>
    </row>
    <row r="417" spans="1:19">
      <c r="A417"/>
      <c r="B417"/>
      <c r="C417"/>
      <c r="D417"/>
      <c r="E417"/>
      <c r="F417"/>
      <c r="G417"/>
      <c r="H417"/>
      <c r="I417"/>
      <c r="J417"/>
      <c r="K417"/>
      <c r="L417"/>
      <c r="M417"/>
      <c r="N417"/>
      <c r="O417"/>
      <c r="P417"/>
      <c r="Q417"/>
      <c r="R417"/>
      <c r="S417"/>
    </row>
    <row r="418" spans="1:19">
      <c r="A418"/>
      <c r="B418"/>
      <c r="C418"/>
      <c r="D418"/>
      <c r="E418"/>
      <c r="F418"/>
      <c r="G418"/>
      <c r="H418"/>
      <c r="I418"/>
      <c r="J418"/>
      <c r="K418"/>
      <c r="L418"/>
      <c r="M418"/>
      <c r="N418"/>
      <c r="O418"/>
      <c r="P418"/>
      <c r="Q418"/>
      <c r="R418"/>
      <c r="S418"/>
    </row>
    <row r="419" spans="1:19">
      <c r="A419"/>
      <c r="B419"/>
      <c r="C419"/>
      <c r="D419"/>
      <c r="E419"/>
      <c r="F419"/>
      <c r="G419"/>
      <c r="H419"/>
      <c r="I419"/>
      <c r="J419"/>
      <c r="K419"/>
      <c r="L419"/>
      <c r="M419"/>
      <c r="N419"/>
      <c r="O419"/>
      <c r="P419"/>
      <c r="Q419"/>
      <c r="R419"/>
      <c r="S419"/>
    </row>
    <row r="420" spans="1:19">
      <c r="A420"/>
      <c r="B420"/>
      <c r="C420"/>
      <c r="D420"/>
      <c r="E420"/>
      <c r="F420"/>
      <c r="G420"/>
      <c r="H420"/>
      <c r="I420"/>
      <c r="J420"/>
      <c r="K420"/>
      <c r="L420"/>
      <c r="M420"/>
      <c r="N420"/>
      <c r="O420"/>
      <c r="P420"/>
      <c r="Q420"/>
      <c r="R420"/>
      <c r="S420"/>
    </row>
    <row r="421" spans="1:19">
      <c r="A421"/>
      <c r="B421"/>
      <c r="C421"/>
      <c r="D421"/>
      <c r="E421"/>
      <c r="F421"/>
      <c r="G421"/>
      <c r="H421"/>
      <c r="I421"/>
      <c r="J421"/>
      <c r="K421"/>
      <c r="L421"/>
      <c r="M421"/>
      <c r="N421"/>
      <c r="O421"/>
      <c r="P421"/>
      <c r="Q421"/>
      <c r="R421"/>
      <c r="S421"/>
    </row>
    <row r="422" spans="1:19">
      <c r="A422"/>
      <c r="B422"/>
      <c r="C422"/>
      <c r="D422"/>
      <c r="E422"/>
      <c r="F422"/>
      <c r="G422"/>
      <c r="H422"/>
      <c r="I422"/>
      <c r="J422"/>
      <c r="K422"/>
      <c r="L422"/>
      <c r="M422"/>
      <c r="N422"/>
      <c r="O422"/>
      <c r="P422"/>
      <c r="Q422"/>
      <c r="R422"/>
      <c r="S422"/>
    </row>
    <row r="423" spans="1:19">
      <c r="A423"/>
      <c r="B423"/>
      <c r="C423"/>
      <c r="D423"/>
      <c r="E423"/>
      <c r="F423"/>
      <c r="G423"/>
      <c r="H423"/>
      <c r="I423"/>
      <c r="J423"/>
      <c r="K423"/>
      <c r="L423"/>
      <c r="M423"/>
      <c r="N423"/>
      <c r="O423"/>
      <c r="P423"/>
      <c r="Q423"/>
      <c r="R423"/>
      <c r="S423"/>
    </row>
    <row r="424" spans="1:19">
      <c r="A424"/>
      <c r="B424"/>
      <c r="C424"/>
      <c r="D424"/>
      <c r="E424"/>
      <c r="F424"/>
      <c r="G424"/>
      <c r="H424"/>
      <c r="I424"/>
      <c r="J424"/>
      <c r="K424"/>
      <c r="L424"/>
      <c r="M424"/>
      <c r="N424"/>
      <c r="O424"/>
      <c r="P424"/>
      <c r="Q424"/>
      <c r="R424"/>
      <c r="S424"/>
    </row>
    <row r="425" spans="1:19">
      <c r="A425"/>
      <c r="B425"/>
      <c r="C425"/>
      <c r="D425"/>
      <c r="E425"/>
      <c r="F425"/>
      <c r="G425"/>
      <c r="H425"/>
      <c r="I425"/>
      <c r="J425"/>
      <c r="K425"/>
      <c r="L425"/>
      <c r="M425"/>
      <c r="N425"/>
      <c r="O425"/>
      <c r="P425"/>
      <c r="Q425"/>
      <c r="R425"/>
      <c r="S425"/>
    </row>
    <row r="426" spans="1:19">
      <c r="A426"/>
      <c r="B426"/>
      <c r="C426"/>
      <c r="D426"/>
      <c r="E426"/>
      <c r="F426"/>
      <c r="G426"/>
      <c r="H426"/>
      <c r="I426"/>
      <c r="J426"/>
      <c r="K426"/>
      <c r="L426"/>
      <c r="M426"/>
      <c r="N426"/>
      <c r="O426"/>
      <c r="P426"/>
      <c r="Q426"/>
      <c r="R426"/>
      <c r="S426"/>
    </row>
    <row r="427" spans="1:19">
      <c r="A427"/>
      <c r="B427"/>
      <c r="C427"/>
      <c r="D427"/>
      <c r="E427"/>
      <c r="F427"/>
      <c r="G427"/>
      <c r="H427"/>
      <c r="I427"/>
      <c r="J427"/>
      <c r="K427"/>
      <c r="L427"/>
      <c r="M427"/>
      <c r="N427"/>
      <c r="O427"/>
      <c r="P427"/>
      <c r="Q427"/>
      <c r="R427"/>
      <c r="S427"/>
    </row>
    <row r="428" spans="1:19">
      <c r="A428"/>
      <c r="B428"/>
      <c r="C428"/>
      <c r="D428"/>
      <c r="E428"/>
      <c r="F428"/>
      <c r="G428"/>
      <c r="H428"/>
      <c r="I428"/>
      <c r="J428"/>
      <c r="K428"/>
      <c r="L428"/>
      <c r="M428"/>
      <c r="N428"/>
      <c r="O428"/>
      <c r="P428"/>
      <c r="Q428"/>
      <c r="R428"/>
      <c r="S428"/>
    </row>
    <row r="429" spans="1:19">
      <c r="A429"/>
      <c r="B429"/>
      <c r="C429"/>
      <c r="D429"/>
      <c r="E429"/>
      <c r="F429"/>
      <c r="G429"/>
      <c r="H429"/>
      <c r="I429"/>
      <c r="J429"/>
      <c r="K429"/>
      <c r="L429"/>
      <c r="M429"/>
      <c r="N429"/>
      <c r="O429"/>
      <c r="P429"/>
      <c r="Q429"/>
      <c r="R429"/>
      <c r="S429"/>
    </row>
    <row r="430" spans="1:19">
      <c r="A430"/>
      <c r="B430"/>
      <c r="C430"/>
      <c r="D430"/>
      <c r="E430"/>
      <c r="F430"/>
      <c r="G430"/>
      <c r="H430"/>
      <c r="I430"/>
      <c r="J430"/>
      <c r="K430"/>
      <c r="L430"/>
      <c r="M430"/>
      <c r="N430"/>
      <c r="O430"/>
      <c r="P430"/>
      <c r="Q430"/>
      <c r="R430"/>
      <c r="S430"/>
    </row>
    <row r="431" spans="1:19">
      <c r="A431"/>
      <c r="B431"/>
      <c r="C431"/>
      <c r="D431"/>
      <c r="E431"/>
      <c r="F431"/>
      <c r="G431"/>
      <c r="H431"/>
      <c r="I431"/>
      <c r="J431"/>
      <c r="K431"/>
      <c r="L431"/>
      <c r="M431"/>
      <c r="N431"/>
      <c r="O431"/>
      <c r="P431"/>
      <c r="Q431"/>
      <c r="R431"/>
      <c r="S431"/>
    </row>
    <row r="432" spans="1:19">
      <c r="A432"/>
      <c r="B432"/>
      <c r="C432"/>
      <c r="D432"/>
      <c r="E432"/>
      <c r="F432"/>
      <c r="G432"/>
      <c r="H432"/>
      <c r="I432"/>
      <c r="J432"/>
      <c r="K432"/>
      <c r="L432"/>
      <c r="M432"/>
      <c r="N432"/>
      <c r="O432"/>
      <c r="P432"/>
      <c r="Q432"/>
      <c r="R432"/>
      <c r="S432"/>
    </row>
    <row r="433" spans="1:19">
      <c r="A433"/>
      <c r="B433"/>
      <c r="C433"/>
      <c r="D433"/>
      <c r="E433"/>
      <c r="F433"/>
      <c r="G433"/>
      <c r="H433"/>
      <c r="I433"/>
      <c r="J433"/>
      <c r="K433"/>
      <c r="L433"/>
      <c r="M433"/>
      <c r="N433"/>
      <c r="O433"/>
      <c r="P433"/>
      <c r="Q433"/>
      <c r="R433"/>
      <c r="S433"/>
    </row>
    <row r="434" spans="1:19">
      <c r="A434"/>
      <c r="B434"/>
      <c r="C434"/>
      <c r="D434"/>
      <c r="E434"/>
      <c r="F434"/>
      <c r="G434"/>
      <c r="H434"/>
      <c r="I434"/>
      <c r="J434"/>
      <c r="K434"/>
      <c r="L434"/>
      <c r="M434"/>
      <c r="N434"/>
      <c r="O434"/>
      <c r="P434"/>
      <c r="Q434"/>
      <c r="R434"/>
      <c r="S434"/>
    </row>
    <row r="435" spans="1:19">
      <c r="A435"/>
      <c r="B435"/>
      <c r="C435"/>
      <c r="D435"/>
      <c r="E435"/>
      <c r="F435"/>
      <c r="G435"/>
      <c r="H435"/>
      <c r="I435"/>
      <c r="J435"/>
      <c r="K435"/>
      <c r="L435"/>
      <c r="M435"/>
      <c r="N435"/>
      <c r="O435"/>
      <c r="P435"/>
      <c r="Q435"/>
      <c r="R435"/>
      <c r="S435"/>
    </row>
    <row r="436" spans="1:19">
      <c r="A436"/>
      <c r="B436"/>
      <c r="C436"/>
      <c r="D436"/>
      <c r="E436"/>
      <c r="F436"/>
      <c r="G436"/>
      <c r="H436"/>
      <c r="I436"/>
      <c r="J436"/>
      <c r="K436"/>
      <c r="L436"/>
      <c r="M436"/>
      <c r="N436"/>
      <c r="O436"/>
      <c r="P436"/>
      <c r="Q436"/>
      <c r="R436"/>
      <c r="S436"/>
    </row>
    <row r="437" spans="1:19">
      <c r="A437"/>
      <c r="B437"/>
      <c r="C437"/>
      <c r="D437"/>
      <c r="E437"/>
      <c r="F437"/>
      <c r="G437"/>
      <c r="H437"/>
      <c r="I437"/>
      <c r="J437"/>
      <c r="K437"/>
      <c r="L437"/>
      <c r="M437"/>
      <c r="N437"/>
      <c r="O437"/>
      <c r="P437"/>
      <c r="Q437"/>
      <c r="R437"/>
      <c r="S437"/>
    </row>
    <row r="438" spans="1:19">
      <c r="A438"/>
      <c r="B438"/>
      <c r="C438"/>
      <c r="D438"/>
      <c r="E438"/>
      <c r="F438"/>
      <c r="G438"/>
      <c r="H438"/>
      <c r="I438"/>
      <c r="J438"/>
      <c r="K438"/>
      <c r="L438"/>
      <c r="M438"/>
      <c r="N438"/>
      <c r="O438"/>
      <c r="P438"/>
      <c r="Q438"/>
      <c r="R438"/>
      <c r="S438"/>
    </row>
    <row r="439" spans="1:19">
      <c r="A439"/>
      <c r="B439"/>
      <c r="C439"/>
      <c r="D439"/>
      <c r="E439"/>
      <c r="F439"/>
      <c r="G439"/>
      <c r="H439"/>
      <c r="I439"/>
      <c r="J439"/>
      <c r="K439"/>
      <c r="L439"/>
      <c r="M439"/>
      <c r="N439"/>
      <c r="O439"/>
      <c r="P439"/>
      <c r="Q439"/>
      <c r="R439"/>
      <c r="S439"/>
    </row>
    <row r="440" spans="1:19">
      <c r="A440"/>
      <c r="B440"/>
      <c r="C440"/>
      <c r="D440"/>
      <c r="E440"/>
      <c r="F440"/>
      <c r="G440"/>
      <c r="H440"/>
      <c r="I440"/>
      <c r="J440"/>
      <c r="K440"/>
      <c r="L440"/>
      <c r="M440"/>
      <c r="N440"/>
      <c r="O440"/>
      <c r="P440"/>
      <c r="Q440"/>
      <c r="R440"/>
      <c r="S440"/>
    </row>
    <row r="441" spans="1:19">
      <c r="A441"/>
      <c r="B441"/>
      <c r="C441"/>
      <c r="D441"/>
      <c r="E441"/>
      <c r="F441"/>
      <c r="G441"/>
      <c r="H441"/>
      <c r="I441"/>
      <c r="J441"/>
      <c r="K441"/>
      <c r="L441"/>
      <c r="M441"/>
      <c r="N441"/>
      <c r="O441"/>
      <c r="P441"/>
      <c r="Q441"/>
      <c r="R441"/>
      <c r="S441"/>
    </row>
    <row r="442" spans="1:19">
      <c r="A442"/>
      <c r="B442"/>
      <c r="C442"/>
      <c r="D442"/>
      <c r="E442"/>
      <c r="F442"/>
      <c r="G442"/>
      <c r="H442"/>
      <c r="I442"/>
      <c r="J442"/>
      <c r="K442"/>
      <c r="L442"/>
      <c r="M442"/>
      <c r="N442"/>
      <c r="O442"/>
      <c r="P442"/>
      <c r="Q442"/>
      <c r="R442"/>
      <c r="S442"/>
    </row>
    <row r="443" spans="1:19">
      <c r="A443"/>
      <c r="B443"/>
      <c r="C443"/>
      <c r="D443"/>
      <c r="E443"/>
      <c r="F443"/>
      <c r="G443"/>
      <c r="H443"/>
      <c r="I443"/>
      <c r="J443"/>
      <c r="K443"/>
      <c r="L443"/>
      <c r="M443"/>
      <c r="N443"/>
      <c r="O443"/>
      <c r="P443"/>
      <c r="Q443"/>
      <c r="R443"/>
      <c r="S443"/>
    </row>
    <row r="444" spans="1:19">
      <c r="A444"/>
      <c r="B444"/>
      <c r="C444"/>
      <c r="D444"/>
      <c r="E444"/>
      <c r="F444"/>
      <c r="G444"/>
      <c r="H444"/>
      <c r="I444"/>
      <c r="J444"/>
      <c r="K444"/>
      <c r="L444"/>
      <c r="M444"/>
      <c r="N444"/>
      <c r="O444"/>
      <c r="P444"/>
      <c r="Q444"/>
      <c r="R444"/>
      <c r="S444"/>
    </row>
    <row r="445" spans="1:19">
      <c r="A445"/>
      <c r="B445"/>
      <c r="C445"/>
      <c r="D445"/>
      <c r="E445"/>
      <c r="F445"/>
      <c r="G445"/>
      <c r="H445"/>
      <c r="I445"/>
      <c r="J445"/>
      <c r="K445"/>
      <c r="L445"/>
      <c r="M445"/>
      <c r="N445"/>
      <c r="O445"/>
      <c r="P445"/>
      <c r="Q445"/>
      <c r="R445"/>
      <c r="S445"/>
    </row>
    <row r="446" spans="1:19">
      <c r="A446"/>
      <c r="B446"/>
      <c r="C446"/>
      <c r="D446"/>
      <c r="E446"/>
      <c r="F446"/>
      <c r="G446"/>
      <c r="H446"/>
      <c r="I446"/>
      <c r="J446"/>
      <c r="K446"/>
      <c r="L446"/>
      <c r="M446"/>
      <c r="N446"/>
      <c r="O446"/>
      <c r="P446"/>
      <c r="Q446"/>
      <c r="R446"/>
      <c r="S446"/>
    </row>
    <row r="447" spans="1:19">
      <c r="A447"/>
      <c r="B447"/>
      <c r="C447"/>
      <c r="D447"/>
      <c r="E447"/>
      <c r="F447"/>
      <c r="G447"/>
      <c r="H447"/>
      <c r="I447"/>
      <c r="J447"/>
      <c r="K447"/>
      <c r="L447"/>
      <c r="M447"/>
      <c r="N447"/>
      <c r="O447"/>
      <c r="P447"/>
      <c r="Q447"/>
      <c r="R447"/>
      <c r="S447"/>
    </row>
    <row r="448" spans="1:19">
      <c r="A448"/>
      <c r="B448"/>
      <c r="C448"/>
      <c r="D448"/>
      <c r="E448"/>
      <c r="F448"/>
      <c r="G448"/>
      <c r="H448"/>
      <c r="I448"/>
      <c r="J448"/>
      <c r="K448"/>
      <c r="L448"/>
      <c r="M448"/>
      <c r="N448"/>
      <c r="O448"/>
      <c r="P448"/>
      <c r="Q448"/>
      <c r="R448"/>
      <c r="S448"/>
    </row>
    <row r="449" spans="1:19">
      <c r="A449"/>
      <c r="B449"/>
      <c r="C449"/>
      <c r="D449"/>
      <c r="E449"/>
      <c r="F449"/>
      <c r="G449"/>
      <c r="H449"/>
      <c r="I449"/>
      <c r="J449"/>
      <c r="K449"/>
      <c r="L449"/>
      <c r="M449"/>
      <c r="N449"/>
      <c r="O449"/>
      <c r="P449"/>
      <c r="Q449"/>
      <c r="R449"/>
      <c r="S449"/>
    </row>
    <row r="450" spans="1:19">
      <c r="A450"/>
      <c r="B450"/>
      <c r="C450"/>
      <c r="D450"/>
      <c r="E450"/>
      <c r="F450"/>
      <c r="G450"/>
      <c r="H450"/>
      <c r="I450"/>
      <c r="J450"/>
      <c r="K450"/>
      <c r="L450"/>
      <c r="M450"/>
      <c r="N450"/>
      <c r="O450"/>
      <c r="P450"/>
      <c r="Q450"/>
      <c r="R450"/>
      <c r="S450"/>
    </row>
    <row r="451" spans="1:19">
      <c r="A451"/>
      <c r="B451"/>
      <c r="C451"/>
      <c r="D451"/>
      <c r="E451"/>
      <c r="F451"/>
      <c r="G451"/>
      <c r="H451"/>
      <c r="I451"/>
      <c r="J451"/>
      <c r="K451"/>
      <c r="L451"/>
      <c r="M451"/>
      <c r="N451"/>
      <c r="O451"/>
      <c r="P451"/>
      <c r="Q451"/>
      <c r="R451"/>
      <c r="S451"/>
    </row>
    <row r="452" spans="1:19">
      <c r="A452"/>
      <c r="B452"/>
      <c r="C452"/>
      <c r="D452"/>
      <c r="E452"/>
      <c r="F452"/>
      <c r="G452"/>
      <c r="H452"/>
      <c r="I452"/>
      <c r="J452"/>
      <c r="K452"/>
      <c r="L452"/>
      <c r="M452"/>
      <c r="N452"/>
      <c r="O452"/>
      <c r="P452"/>
      <c r="Q452"/>
      <c r="R452"/>
      <c r="S452"/>
    </row>
    <row r="453" spans="1:19">
      <c r="A453"/>
      <c r="B453"/>
      <c r="C453"/>
      <c r="D453"/>
      <c r="E453"/>
      <c r="F453"/>
      <c r="G453"/>
      <c r="H453"/>
      <c r="I453"/>
      <c r="J453"/>
      <c r="K453"/>
      <c r="L453"/>
      <c r="M453"/>
      <c r="N453"/>
      <c r="O453"/>
      <c r="P453"/>
      <c r="Q453"/>
      <c r="R453"/>
      <c r="S453"/>
    </row>
    <row r="454" spans="1:19">
      <c r="A454"/>
      <c r="B454"/>
      <c r="C454"/>
      <c r="D454"/>
      <c r="E454"/>
      <c r="F454"/>
      <c r="G454"/>
      <c r="H454"/>
      <c r="I454"/>
      <c r="J454"/>
      <c r="K454"/>
      <c r="L454"/>
      <c r="M454"/>
      <c r="N454"/>
      <c r="O454"/>
      <c r="P454"/>
      <c r="Q454"/>
      <c r="R454"/>
      <c r="S454"/>
    </row>
    <row r="455" spans="1:19">
      <c r="A455"/>
      <c r="B455"/>
      <c r="C455"/>
      <c r="D455"/>
      <c r="E455"/>
      <c r="F455"/>
      <c r="G455"/>
      <c r="H455"/>
      <c r="I455"/>
      <c r="J455"/>
      <c r="K455"/>
      <c r="L455"/>
      <c r="M455"/>
      <c r="N455"/>
      <c r="O455"/>
      <c r="P455"/>
      <c r="Q455"/>
      <c r="R455"/>
      <c r="S455"/>
    </row>
    <row r="456" spans="1:19">
      <c r="A456"/>
      <c r="B456"/>
      <c r="C456"/>
      <c r="D456"/>
      <c r="E456"/>
      <c r="F456"/>
      <c r="G456"/>
      <c r="H456"/>
      <c r="I456"/>
      <c r="J456"/>
      <c r="K456"/>
      <c r="L456"/>
      <c r="M456"/>
      <c r="N456"/>
      <c r="O456"/>
      <c r="P456"/>
      <c r="Q456"/>
      <c r="R456"/>
      <c r="S456"/>
    </row>
    <row r="457" spans="1:19">
      <c r="A457"/>
      <c r="B457"/>
      <c r="C457"/>
      <c r="D457"/>
      <c r="E457"/>
      <c r="F457"/>
      <c r="G457"/>
      <c r="H457"/>
      <c r="I457"/>
      <c r="J457"/>
      <c r="K457"/>
      <c r="L457"/>
      <c r="M457"/>
      <c r="N457"/>
      <c r="O457"/>
      <c r="P457"/>
      <c r="Q457"/>
      <c r="R457"/>
      <c r="S457"/>
    </row>
    <row r="458" spans="1:19">
      <c r="A458"/>
      <c r="B458"/>
      <c r="C458"/>
      <c r="D458"/>
      <c r="E458"/>
      <c r="F458"/>
      <c r="G458"/>
      <c r="H458"/>
      <c r="I458"/>
      <c r="J458"/>
      <c r="K458"/>
      <c r="L458"/>
      <c r="M458"/>
      <c r="N458"/>
      <c r="O458"/>
      <c r="P458"/>
      <c r="Q458"/>
      <c r="R458"/>
      <c r="S458"/>
    </row>
    <row r="459" spans="1:19">
      <c r="A459"/>
      <c r="B459"/>
      <c r="C459"/>
      <c r="D459"/>
      <c r="E459"/>
      <c r="F459"/>
      <c r="G459"/>
      <c r="H459"/>
      <c r="I459"/>
      <c r="J459"/>
      <c r="K459"/>
      <c r="L459"/>
      <c r="M459"/>
      <c r="N459"/>
      <c r="O459"/>
      <c r="P459"/>
      <c r="Q459"/>
      <c r="R459"/>
      <c r="S459"/>
    </row>
    <row r="460" spans="1:19">
      <c r="A460"/>
      <c r="B460"/>
      <c r="C460"/>
      <c r="D460"/>
      <c r="E460"/>
      <c r="F460"/>
      <c r="G460"/>
      <c r="H460"/>
      <c r="I460"/>
      <c r="J460"/>
      <c r="K460"/>
      <c r="L460"/>
      <c r="M460"/>
      <c r="N460"/>
      <c r="O460"/>
      <c r="P460"/>
      <c r="Q460"/>
      <c r="R460"/>
      <c r="S460"/>
    </row>
    <row r="461" spans="1:19">
      <c r="A461"/>
      <c r="B461"/>
      <c r="C461"/>
      <c r="D461"/>
      <c r="E461"/>
      <c r="F461"/>
      <c r="G461"/>
      <c r="H461"/>
      <c r="I461"/>
      <c r="J461"/>
      <c r="K461"/>
      <c r="L461"/>
      <c r="M461"/>
      <c r="N461"/>
      <c r="O461"/>
      <c r="P461"/>
      <c r="Q461"/>
      <c r="R461"/>
      <c r="S461"/>
    </row>
    <row r="462" spans="1:19">
      <c r="A462"/>
      <c r="B462"/>
      <c r="C462"/>
      <c r="D462"/>
      <c r="E462"/>
      <c r="F462"/>
      <c r="G462"/>
      <c r="H462"/>
      <c r="I462"/>
      <c r="J462"/>
      <c r="K462"/>
      <c r="L462"/>
      <c r="M462"/>
      <c r="N462"/>
      <c r="O462"/>
      <c r="P462"/>
      <c r="Q462"/>
      <c r="R462"/>
      <c r="S462"/>
    </row>
    <row r="463" spans="1:19">
      <c r="A463"/>
      <c r="B463"/>
      <c r="C463"/>
      <c r="D463"/>
      <c r="E463"/>
      <c r="F463"/>
      <c r="G463"/>
      <c r="H463"/>
      <c r="I463"/>
      <c r="J463"/>
      <c r="K463"/>
      <c r="L463"/>
      <c r="M463"/>
      <c r="N463"/>
      <c r="O463"/>
      <c r="P463"/>
      <c r="Q463"/>
      <c r="R463"/>
      <c r="S463"/>
    </row>
    <row r="464" spans="1:19">
      <c r="A464"/>
      <c r="B464"/>
      <c r="C464"/>
      <c r="D464"/>
      <c r="E464"/>
      <c r="F464"/>
      <c r="G464"/>
      <c r="H464"/>
      <c r="I464"/>
      <c r="J464"/>
      <c r="K464"/>
      <c r="L464"/>
      <c r="M464"/>
      <c r="N464"/>
      <c r="O464"/>
      <c r="P464"/>
      <c r="Q464"/>
      <c r="R464"/>
      <c r="S464"/>
    </row>
    <row r="465" spans="1:19">
      <c r="A465"/>
      <c r="B465"/>
      <c r="C465"/>
      <c r="D465"/>
      <c r="E465"/>
      <c r="F465"/>
      <c r="G465"/>
      <c r="H465"/>
      <c r="I465"/>
      <c r="J465"/>
      <c r="K465"/>
      <c r="L465"/>
      <c r="M465"/>
      <c r="N465"/>
      <c r="O465"/>
      <c r="P465"/>
      <c r="Q465"/>
      <c r="R465"/>
      <c r="S465"/>
    </row>
    <row r="466" spans="1:19">
      <c r="A466"/>
      <c r="B466"/>
      <c r="C466"/>
      <c r="D466"/>
      <c r="E466"/>
      <c r="F466"/>
      <c r="G466"/>
      <c r="H466"/>
      <c r="I466"/>
      <c r="J466"/>
      <c r="K466"/>
      <c r="L466"/>
      <c r="M466"/>
      <c r="N466"/>
      <c r="O466"/>
      <c r="P466"/>
      <c r="Q466"/>
      <c r="R466"/>
      <c r="S466"/>
    </row>
    <row r="467" spans="1:19">
      <c r="A467"/>
      <c r="B467"/>
      <c r="C467"/>
      <c r="D467"/>
      <c r="E467"/>
      <c r="F467"/>
      <c r="G467"/>
      <c r="H467"/>
      <c r="I467"/>
      <c r="J467"/>
      <c r="K467"/>
      <c r="L467"/>
      <c r="M467"/>
      <c r="N467"/>
      <c r="O467"/>
      <c r="P467"/>
      <c r="Q467"/>
      <c r="R467"/>
      <c r="S467"/>
    </row>
    <row r="468" spans="1:19">
      <c r="A468"/>
      <c r="B468"/>
      <c r="C468"/>
      <c r="D468"/>
      <c r="E468"/>
      <c r="F468"/>
      <c r="G468"/>
      <c r="H468"/>
      <c r="I468"/>
      <c r="J468"/>
      <c r="K468"/>
      <c r="L468"/>
      <c r="M468"/>
      <c r="N468"/>
      <c r="O468"/>
      <c r="P468"/>
      <c r="Q468"/>
      <c r="R468"/>
      <c r="S468"/>
    </row>
    <row r="469" spans="1:19">
      <c r="A469"/>
      <c r="B469"/>
      <c r="C469"/>
      <c r="D469"/>
      <c r="E469"/>
      <c r="F469"/>
      <c r="G469"/>
      <c r="H469"/>
      <c r="I469"/>
      <c r="J469"/>
      <c r="K469"/>
      <c r="L469"/>
      <c r="M469"/>
      <c r="N469"/>
      <c r="O469"/>
      <c r="P469"/>
      <c r="Q469"/>
      <c r="R469"/>
      <c r="S469"/>
    </row>
    <row r="470" spans="1:19">
      <c r="A470"/>
      <c r="B470"/>
      <c r="C470"/>
      <c r="D470"/>
      <c r="E470"/>
      <c r="F470"/>
      <c r="G470"/>
      <c r="H470"/>
      <c r="I470"/>
      <c r="J470"/>
      <c r="K470"/>
      <c r="L470"/>
      <c r="M470"/>
      <c r="N470"/>
      <c r="O470"/>
      <c r="P470"/>
      <c r="Q470"/>
      <c r="R470"/>
      <c r="S470"/>
    </row>
    <row r="471" spans="1:19">
      <c r="A471"/>
      <c r="B471"/>
      <c r="C471"/>
      <c r="D471"/>
      <c r="E471"/>
      <c r="F471"/>
      <c r="G471"/>
      <c r="H471"/>
      <c r="I471"/>
      <c r="J471"/>
      <c r="K471"/>
      <c r="L471"/>
      <c r="M471"/>
      <c r="N471"/>
      <c r="O471"/>
      <c r="P471"/>
      <c r="Q471"/>
      <c r="R471"/>
      <c r="S471"/>
    </row>
    <row r="472" spans="1:19">
      <c r="A472"/>
      <c r="B472"/>
      <c r="C472"/>
      <c r="D472"/>
      <c r="E472"/>
      <c r="F472"/>
      <c r="G472"/>
      <c r="H472"/>
      <c r="I472"/>
      <c r="J472"/>
      <c r="K472"/>
      <c r="L472"/>
      <c r="M472"/>
      <c r="N472"/>
      <c r="O472"/>
      <c r="P472"/>
      <c r="Q472"/>
      <c r="R472"/>
      <c r="S472"/>
    </row>
    <row r="473" spans="1:19">
      <c r="A473"/>
      <c r="B473"/>
      <c r="C473"/>
      <c r="D473"/>
      <c r="E473"/>
      <c r="F473"/>
      <c r="G473"/>
      <c r="H473"/>
      <c r="I473"/>
      <c r="J473"/>
      <c r="K473"/>
      <c r="L473"/>
      <c r="M473"/>
      <c r="N473"/>
      <c r="O473"/>
      <c r="P473"/>
      <c r="Q473"/>
      <c r="R473"/>
      <c r="S473"/>
    </row>
    <row r="474" spans="1:19">
      <c r="A474"/>
      <c r="B474"/>
      <c r="C474"/>
      <c r="D474"/>
      <c r="E474"/>
      <c r="F474"/>
      <c r="G474"/>
      <c r="H474"/>
      <c r="I474"/>
      <c r="J474"/>
      <c r="K474"/>
      <c r="L474"/>
      <c r="M474"/>
      <c r="N474"/>
      <c r="O474"/>
      <c r="P474"/>
      <c r="Q474"/>
      <c r="R474"/>
      <c r="S474"/>
    </row>
    <row r="475" spans="1:19">
      <c r="A475"/>
      <c r="B475"/>
      <c r="C475"/>
      <c r="D475"/>
      <c r="E475"/>
      <c r="F475"/>
      <c r="G475"/>
      <c r="H475"/>
      <c r="I475"/>
      <c r="J475"/>
      <c r="K475"/>
      <c r="L475"/>
      <c r="M475"/>
      <c r="N475"/>
      <c r="O475"/>
      <c r="P475"/>
      <c r="Q475"/>
      <c r="R475"/>
      <c r="S475"/>
    </row>
    <row r="476" spans="1:19">
      <c r="A476"/>
      <c r="B476"/>
      <c r="C476"/>
      <c r="D476"/>
      <c r="E476"/>
      <c r="F476"/>
      <c r="G476"/>
      <c r="H476"/>
      <c r="I476"/>
      <c r="J476"/>
      <c r="K476"/>
      <c r="L476"/>
      <c r="M476"/>
      <c r="N476"/>
      <c r="O476"/>
      <c r="P476"/>
      <c r="Q476"/>
      <c r="R476"/>
      <c r="S476"/>
    </row>
    <row r="477" spans="1:19">
      <c r="A477"/>
      <c r="B477"/>
      <c r="C477"/>
      <c r="D477"/>
      <c r="E477"/>
      <c r="F477"/>
      <c r="G477"/>
      <c r="H477"/>
      <c r="I477"/>
      <c r="J477"/>
      <c r="K477"/>
      <c r="L477"/>
      <c r="M477"/>
      <c r="N477"/>
      <c r="O477"/>
      <c r="P477"/>
      <c r="Q477"/>
      <c r="R477"/>
      <c r="S477"/>
    </row>
    <row r="478" spans="1:19">
      <c r="A478"/>
      <c r="B478"/>
      <c r="C478"/>
      <c r="D478"/>
      <c r="E478"/>
      <c r="F478"/>
      <c r="G478"/>
      <c r="H478"/>
      <c r="I478"/>
      <c r="J478"/>
      <c r="K478"/>
      <c r="L478"/>
      <c r="M478"/>
      <c r="N478"/>
      <c r="O478"/>
      <c r="P478"/>
      <c r="Q478"/>
      <c r="R478"/>
      <c r="S478"/>
    </row>
    <row r="479" spans="1:19">
      <c r="A479"/>
      <c r="B479"/>
      <c r="C479"/>
      <c r="D479"/>
      <c r="E479"/>
      <c r="F479"/>
      <c r="G479"/>
      <c r="H479"/>
      <c r="I479"/>
      <c r="J479"/>
      <c r="K479"/>
      <c r="L479"/>
      <c r="M479"/>
      <c r="N479"/>
      <c r="O479"/>
      <c r="P479"/>
      <c r="Q479"/>
      <c r="R479"/>
      <c r="S479"/>
    </row>
    <row r="480" spans="1:19">
      <c r="A480"/>
      <c r="B480"/>
      <c r="C480"/>
      <c r="D480"/>
      <c r="E480"/>
      <c r="F480"/>
      <c r="G480"/>
      <c r="H480"/>
      <c r="I480"/>
      <c r="J480"/>
      <c r="K480"/>
      <c r="L480"/>
      <c r="M480"/>
      <c r="N480"/>
      <c r="O480"/>
      <c r="P480"/>
      <c r="Q480"/>
      <c r="R480"/>
      <c r="S480"/>
    </row>
    <row r="481" spans="1:19">
      <c r="A481"/>
      <c r="B481"/>
      <c r="C481"/>
      <c r="D481"/>
      <c r="E481"/>
      <c r="F481"/>
      <c r="G481"/>
      <c r="H481"/>
      <c r="I481"/>
      <c r="J481"/>
      <c r="K481"/>
      <c r="L481"/>
      <c r="M481"/>
      <c r="N481"/>
      <c r="O481"/>
      <c r="P481"/>
      <c r="Q481"/>
      <c r="R481"/>
      <c r="S481"/>
    </row>
    <row r="482" spans="1:19">
      <c r="A482"/>
      <c r="B482"/>
      <c r="C482"/>
      <c r="D482"/>
      <c r="E482"/>
      <c r="F482"/>
      <c r="G482"/>
      <c r="H482"/>
      <c r="I482"/>
      <c r="J482"/>
      <c r="K482"/>
      <c r="L482"/>
      <c r="M482"/>
      <c r="N482"/>
      <c r="O482"/>
      <c r="P482"/>
      <c r="Q482"/>
      <c r="R482"/>
      <c r="S482"/>
    </row>
    <row r="483" spans="1:19">
      <c r="A483"/>
      <c r="B483"/>
      <c r="C483"/>
      <c r="D483"/>
      <c r="E483"/>
      <c r="F483"/>
      <c r="G483"/>
      <c r="H483"/>
      <c r="I483"/>
      <c r="J483"/>
      <c r="K483"/>
      <c r="L483"/>
      <c r="M483"/>
      <c r="N483"/>
      <c r="O483"/>
      <c r="P483"/>
      <c r="Q483"/>
      <c r="R483"/>
      <c r="S483"/>
    </row>
    <row r="484" spans="1:19">
      <c r="A484"/>
      <c r="B484"/>
      <c r="C484"/>
      <c r="D484"/>
      <c r="E484"/>
      <c r="F484"/>
      <c r="G484"/>
      <c r="H484"/>
      <c r="I484"/>
      <c r="J484"/>
      <c r="K484"/>
      <c r="L484"/>
      <c r="M484"/>
      <c r="N484"/>
      <c r="O484"/>
      <c r="P484"/>
      <c r="Q484"/>
      <c r="R484"/>
      <c r="S484"/>
    </row>
    <row r="485" spans="1:19">
      <c r="A485"/>
      <c r="B485"/>
      <c r="C485"/>
      <c r="D485"/>
      <c r="E485"/>
      <c r="F485"/>
      <c r="G485"/>
      <c r="H485"/>
      <c r="I485"/>
      <c r="J485"/>
      <c r="K485"/>
      <c r="L485"/>
      <c r="M485"/>
      <c r="N485"/>
      <c r="O485"/>
      <c r="P485"/>
      <c r="Q485"/>
      <c r="R485"/>
      <c r="S485"/>
    </row>
    <row r="486" spans="1:19">
      <c r="A486"/>
      <c r="B486"/>
      <c r="C486"/>
      <c r="D486"/>
      <c r="E486"/>
      <c r="F486"/>
      <c r="G486"/>
      <c r="H486"/>
      <c r="I486"/>
      <c r="J486"/>
      <c r="K486"/>
      <c r="L486"/>
      <c r="M486"/>
      <c r="N486"/>
      <c r="O486"/>
      <c r="P486"/>
      <c r="Q486"/>
      <c r="R486"/>
      <c r="S486"/>
    </row>
    <row r="487" spans="1:19">
      <c r="A487"/>
      <c r="B487"/>
      <c r="C487"/>
      <c r="D487"/>
      <c r="E487"/>
      <c r="F487"/>
      <c r="G487"/>
      <c r="H487"/>
      <c r="I487"/>
      <c r="J487"/>
      <c r="K487"/>
      <c r="L487"/>
      <c r="M487"/>
      <c r="N487"/>
      <c r="O487"/>
      <c r="P487"/>
      <c r="Q487"/>
      <c r="R487"/>
      <c r="S487"/>
    </row>
    <row r="488" spans="1:19">
      <c r="A488"/>
      <c r="B488"/>
      <c r="C488"/>
      <c r="D488"/>
      <c r="E488"/>
      <c r="F488"/>
      <c r="G488"/>
      <c r="H488"/>
      <c r="I488"/>
      <c r="J488"/>
      <c r="K488"/>
      <c r="L488"/>
      <c r="M488"/>
      <c r="N488"/>
      <c r="O488"/>
      <c r="P488"/>
      <c r="Q488"/>
      <c r="R488"/>
      <c r="S488"/>
    </row>
    <row r="489" spans="1:19">
      <c r="A489"/>
      <c r="B489"/>
      <c r="C489"/>
      <c r="D489"/>
      <c r="E489"/>
      <c r="F489"/>
      <c r="G489"/>
      <c r="H489"/>
      <c r="I489"/>
      <c r="J489"/>
      <c r="K489"/>
      <c r="L489"/>
      <c r="M489"/>
      <c r="N489"/>
      <c r="O489"/>
      <c r="P489"/>
      <c r="Q489"/>
      <c r="R489"/>
      <c r="S489"/>
    </row>
    <row r="490" spans="1:19">
      <c r="A490"/>
      <c r="B490"/>
      <c r="C490"/>
      <c r="D490"/>
      <c r="E490"/>
      <c r="F490"/>
      <c r="G490"/>
      <c r="H490"/>
      <c r="I490"/>
      <c r="J490"/>
      <c r="K490"/>
      <c r="L490"/>
      <c r="M490"/>
      <c r="N490"/>
      <c r="O490"/>
      <c r="P490"/>
      <c r="Q490"/>
      <c r="R490"/>
      <c r="S490"/>
    </row>
    <row r="491" spans="1:19">
      <c r="A491"/>
      <c r="B491"/>
      <c r="C491"/>
      <c r="D491"/>
      <c r="E491"/>
      <c r="F491"/>
      <c r="G491"/>
      <c r="H491"/>
      <c r="I491"/>
      <c r="J491"/>
      <c r="K491"/>
      <c r="L491"/>
      <c r="M491"/>
      <c r="N491"/>
      <c r="O491"/>
      <c r="P491"/>
      <c r="Q491"/>
      <c r="R491"/>
      <c r="S491"/>
    </row>
    <row r="492" spans="1:19">
      <c r="A492"/>
      <c r="B492"/>
      <c r="C492"/>
      <c r="D492"/>
      <c r="E492"/>
      <c r="F492"/>
      <c r="G492"/>
      <c r="H492"/>
      <c r="I492"/>
      <c r="J492"/>
      <c r="K492"/>
      <c r="L492"/>
      <c r="M492"/>
      <c r="N492"/>
      <c r="O492"/>
      <c r="P492"/>
      <c r="Q492"/>
      <c r="R492"/>
      <c r="S492"/>
    </row>
    <row r="493" spans="1:19">
      <c r="A493"/>
      <c r="B493"/>
      <c r="C493"/>
      <c r="D493"/>
      <c r="E493"/>
      <c r="F493"/>
      <c r="G493"/>
      <c r="H493"/>
      <c r="I493"/>
      <c r="J493"/>
      <c r="K493"/>
      <c r="L493"/>
      <c r="M493"/>
      <c r="N493"/>
      <c r="O493"/>
      <c r="P493"/>
      <c r="Q493"/>
      <c r="R493"/>
      <c r="S493"/>
    </row>
    <row r="494" spans="1:19">
      <c r="A494"/>
      <c r="B494"/>
      <c r="C494"/>
      <c r="D494"/>
      <c r="E494"/>
      <c r="F494"/>
      <c r="G494"/>
      <c r="H494"/>
      <c r="I494"/>
      <c r="J494"/>
      <c r="K494"/>
      <c r="L494"/>
      <c r="M494"/>
      <c r="N494"/>
      <c r="O494"/>
      <c r="P494"/>
      <c r="Q494"/>
      <c r="R494"/>
      <c r="S494"/>
    </row>
    <row r="495" spans="1:19">
      <c r="A495"/>
      <c r="B495"/>
      <c r="C495"/>
      <c r="D495"/>
      <c r="E495"/>
      <c r="F495"/>
      <c r="G495"/>
      <c r="H495"/>
      <c r="I495"/>
      <c r="J495"/>
      <c r="K495"/>
      <c r="L495"/>
      <c r="M495"/>
      <c r="N495"/>
      <c r="O495"/>
      <c r="P495"/>
      <c r="Q495"/>
      <c r="R495"/>
      <c r="S495"/>
    </row>
    <row r="496" spans="1:19">
      <c r="A496"/>
      <c r="B496"/>
      <c r="C496"/>
      <c r="D496"/>
      <c r="E496"/>
      <c r="F496"/>
      <c r="G496"/>
      <c r="H496"/>
      <c r="I496"/>
      <c r="J496"/>
      <c r="K496"/>
      <c r="L496"/>
      <c r="M496"/>
      <c r="N496"/>
      <c r="O496"/>
      <c r="P496"/>
      <c r="Q496"/>
      <c r="R496"/>
      <c r="S496"/>
    </row>
    <row r="497" spans="1:19">
      <c r="A497"/>
      <c r="B497"/>
      <c r="C497"/>
      <c r="D497"/>
      <c r="E497"/>
      <c r="F497"/>
      <c r="G497"/>
      <c r="H497"/>
      <c r="I497"/>
      <c r="J497"/>
      <c r="K497"/>
      <c r="L497"/>
      <c r="M497"/>
      <c r="N497"/>
      <c r="O497"/>
      <c r="P497"/>
      <c r="Q497"/>
      <c r="R497"/>
      <c r="S497"/>
    </row>
    <row r="498" spans="1:19">
      <c r="A498"/>
      <c r="B498"/>
      <c r="C498"/>
      <c r="D498"/>
      <c r="E498"/>
      <c r="F498"/>
      <c r="G498"/>
      <c r="H498"/>
      <c r="I498"/>
      <c r="J498"/>
      <c r="K498"/>
      <c r="L498"/>
      <c r="M498"/>
      <c r="N498"/>
      <c r="O498"/>
      <c r="P498"/>
      <c r="Q498"/>
      <c r="R498"/>
      <c r="S498"/>
    </row>
    <row r="499" spans="1:19">
      <c r="A499"/>
      <c r="B499"/>
      <c r="C499"/>
      <c r="D499"/>
      <c r="E499"/>
      <c r="F499"/>
      <c r="G499"/>
      <c r="H499"/>
      <c r="I499"/>
      <c r="J499"/>
      <c r="K499"/>
      <c r="L499"/>
      <c r="M499"/>
      <c r="N499"/>
      <c r="O499"/>
      <c r="P499"/>
      <c r="Q499"/>
      <c r="R499"/>
      <c r="S499"/>
    </row>
    <row r="500" spans="1:19">
      <c r="A500"/>
      <c r="B500"/>
      <c r="C500"/>
      <c r="D500"/>
      <c r="E500"/>
      <c r="F500"/>
      <c r="G500"/>
      <c r="H500"/>
      <c r="I500"/>
      <c r="J500"/>
      <c r="K500"/>
      <c r="L500"/>
      <c r="M500"/>
      <c r="N500"/>
      <c r="O500"/>
      <c r="P500"/>
      <c r="Q500"/>
      <c r="R500"/>
      <c r="S500"/>
    </row>
    <row r="501" spans="1:19">
      <c r="A501"/>
      <c r="B501"/>
      <c r="C501"/>
      <c r="D501"/>
      <c r="E501"/>
      <c r="F501"/>
      <c r="G501"/>
      <c r="H501"/>
      <c r="I501"/>
      <c r="J501"/>
      <c r="K501"/>
      <c r="L501"/>
      <c r="M501"/>
      <c r="N501"/>
      <c r="O501"/>
      <c r="P501"/>
      <c r="Q501"/>
      <c r="R501"/>
      <c r="S501"/>
    </row>
    <row r="502" spans="1:19">
      <c r="A502"/>
      <c r="B502"/>
      <c r="C502"/>
      <c r="D502"/>
      <c r="E502"/>
      <c r="F502"/>
      <c r="G502"/>
      <c r="H502"/>
      <c r="I502"/>
      <c r="J502"/>
      <c r="K502"/>
      <c r="L502"/>
      <c r="M502"/>
      <c r="N502"/>
      <c r="O502"/>
      <c r="P502"/>
      <c r="Q502"/>
      <c r="R502"/>
      <c r="S502"/>
    </row>
    <row r="503" spans="1:19">
      <c r="A503"/>
      <c r="B503"/>
      <c r="C503"/>
      <c r="D503"/>
      <c r="E503"/>
      <c r="F503"/>
      <c r="G503"/>
      <c r="H503"/>
      <c r="I503"/>
      <c r="J503"/>
      <c r="K503"/>
      <c r="L503"/>
      <c r="M503"/>
      <c r="N503"/>
      <c r="O503"/>
      <c r="P503"/>
      <c r="Q503"/>
      <c r="R503"/>
      <c r="S503"/>
    </row>
    <row r="504" spans="1:19">
      <c r="A504"/>
      <c r="B504"/>
      <c r="C504"/>
      <c r="D504"/>
      <c r="E504"/>
      <c r="F504"/>
      <c r="G504"/>
      <c r="H504"/>
      <c r="I504"/>
      <c r="J504"/>
      <c r="K504"/>
      <c r="L504"/>
      <c r="M504"/>
      <c r="N504"/>
      <c r="O504"/>
      <c r="P504"/>
      <c r="Q504"/>
      <c r="R504"/>
      <c r="S504"/>
    </row>
    <row r="505" spans="1:19">
      <c r="A505"/>
      <c r="B505"/>
      <c r="C505"/>
      <c r="D505"/>
      <c r="E505"/>
      <c r="F505"/>
      <c r="G505"/>
      <c r="H505"/>
      <c r="I505"/>
      <c r="J505"/>
      <c r="K505"/>
      <c r="L505"/>
      <c r="M505"/>
      <c r="N505"/>
      <c r="O505"/>
      <c r="P505"/>
      <c r="Q505"/>
      <c r="R505"/>
      <c r="S505"/>
    </row>
    <row r="506" spans="1:19">
      <c r="A506"/>
      <c r="B506"/>
      <c r="C506"/>
      <c r="D506"/>
      <c r="E506"/>
      <c r="F506"/>
      <c r="G506"/>
      <c r="H506"/>
      <c r="I506"/>
      <c r="J506"/>
      <c r="K506"/>
      <c r="L506"/>
      <c r="M506"/>
      <c r="N506"/>
      <c r="O506"/>
      <c r="P506"/>
      <c r="Q506"/>
      <c r="R506"/>
      <c r="S506"/>
    </row>
    <row r="507" spans="1:19">
      <c r="A507"/>
      <c r="B507"/>
      <c r="C507"/>
      <c r="D507"/>
      <c r="E507"/>
      <c r="F507"/>
      <c r="G507"/>
      <c r="H507"/>
      <c r="I507"/>
      <c r="J507"/>
      <c r="K507"/>
      <c r="L507"/>
      <c r="M507"/>
      <c r="N507"/>
      <c r="O507"/>
      <c r="P507"/>
      <c r="Q507"/>
      <c r="R507"/>
      <c r="S507"/>
    </row>
    <row r="508" spans="1:19">
      <c r="A508"/>
      <c r="B508"/>
      <c r="C508"/>
      <c r="D508"/>
      <c r="E508"/>
      <c r="F508"/>
      <c r="G508"/>
      <c r="H508"/>
      <c r="I508"/>
      <c r="J508"/>
      <c r="K508"/>
      <c r="L508"/>
      <c r="M508"/>
      <c r="N508"/>
      <c r="O508"/>
      <c r="P508"/>
      <c r="Q508"/>
      <c r="R508"/>
      <c r="S508"/>
    </row>
    <row r="509" spans="1:19">
      <c r="A509"/>
      <c r="B509"/>
      <c r="C509"/>
      <c r="D509"/>
      <c r="E509"/>
      <c r="F509"/>
      <c r="G509"/>
      <c r="H509"/>
      <c r="I509"/>
      <c r="J509"/>
      <c r="K509"/>
      <c r="L509"/>
      <c r="M509"/>
      <c r="N509"/>
      <c r="O509"/>
      <c r="P509"/>
      <c r="Q509"/>
      <c r="R509"/>
      <c r="S509"/>
    </row>
    <row r="510" spans="1:19">
      <c r="A510"/>
      <c r="B510"/>
      <c r="C510"/>
      <c r="D510"/>
      <c r="E510"/>
      <c r="F510"/>
      <c r="G510"/>
      <c r="H510"/>
      <c r="I510"/>
      <c r="J510"/>
      <c r="K510"/>
      <c r="L510"/>
      <c r="M510"/>
      <c r="N510"/>
      <c r="O510"/>
      <c r="P510"/>
      <c r="Q510"/>
      <c r="R510"/>
      <c r="S510"/>
    </row>
    <row r="511" spans="1:19">
      <c r="A511"/>
      <c r="B511"/>
      <c r="C511"/>
      <c r="D511"/>
      <c r="E511"/>
      <c r="F511"/>
      <c r="G511"/>
      <c r="H511"/>
      <c r="I511"/>
      <c r="J511"/>
      <c r="K511"/>
      <c r="L511"/>
      <c r="M511"/>
      <c r="N511"/>
      <c r="O511"/>
      <c r="P511"/>
      <c r="Q511"/>
      <c r="R511"/>
      <c r="S511"/>
    </row>
    <row r="512" spans="1:19">
      <c r="A512"/>
      <c r="B512"/>
      <c r="C512"/>
      <c r="D512"/>
      <c r="E512"/>
      <c r="F512"/>
      <c r="G512"/>
      <c r="H512"/>
      <c r="I512"/>
      <c r="J512"/>
      <c r="K512"/>
      <c r="L512"/>
      <c r="M512"/>
      <c r="N512"/>
      <c r="O512"/>
      <c r="P512"/>
      <c r="Q512"/>
      <c r="R512"/>
      <c r="S512"/>
    </row>
    <row r="513" spans="1:19">
      <c r="A513"/>
      <c r="B513"/>
      <c r="C513"/>
      <c r="D513"/>
      <c r="E513"/>
      <c r="F513"/>
      <c r="G513"/>
      <c r="H513"/>
      <c r="I513"/>
      <c r="J513"/>
      <c r="K513"/>
      <c r="L513"/>
      <c r="M513"/>
      <c r="N513"/>
      <c r="O513"/>
      <c r="P513"/>
      <c r="Q513"/>
      <c r="R513"/>
      <c r="S513"/>
    </row>
    <row r="514" spans="1:19">
      <c r="A514"/>
      <c r="B514"/>
      <c r="C514"/>
      <c r="D514"/>
      <c r="E514"/>
      <c r="F514"/>
      <c r="G514"/>
      <c r="H514"/>
      <c r="I514"/>
      <c r="J514"/>
      <c r="K514"/>
      <c r="L514"/>
      <c r="M514"/>
      <c r="N514"/>
      <c r="O514"/>
      <c r="P514"/>
      <c r="Q514"/>
      <c r="R514"/>
      <c r="S514"/>
    </row>
    <row r="515" spans="1:19">
      <c r="A515"/>
      <c r="B515"/>
      <c r="C515"/>
      <c r="D515"/>
      <c r="E515"/>
      <c r="F515"/>
      <c r="G515"/>
      <c r="H515"/>
      <c r="I515"/>
      <c r="J515"/>
      <c r="K515"/>
      <c r="L515"/>
      <c r="M515"/>
      <c r="N515"/>
      <c r="O515"/>
      <c r="P515"/>
      <c r="Q515"/>
      <c r="R515"/>
      <c r="S515"/>
    </row>
    <row r="516" spans="1:19">
      <c r="A516"/>
      <c r="B516"/>
      <c r="C516"/>
      <c r="D516"/>
      <c r="E516"/>
      <c r="F516"/>
      <c r="G516"/>
      <c r="H516"/>
      <c r="I516"/>
      <c r="J516"/>
      <c r="K516"/>
      <c r="L516"/>
      <c r="M516"/>
      <c r="N516"/>
      <c r="O516"/>
      <c r="P516"/>
      <c r="Q516"/>
      <c r="R516"/>
      <c r="S516"/>
    </row>
    <row r="517" spans="1:19">
      <c r="A517"/>
      <c r="B517"/>
      <c r="C517"/>
      <c r="D517"/>
      <c r="E517"/>
      <c r="F517"/>
      <c r="G517"/>
      <c r="H517"/>
      <c r="I517"/>
      <c r="J517"/>
      <c r="K517"/>
      <c r="L517"/>
      <c r="M517"/>
      <c r="N517"/>
      <c r="O517"/>
      <c r="P517"/>
      <c r="Q517"/>
      <c r="R517"/>
      <c r="S517"/>
    </row>
    <row r="518" spans="1:19">
      <c r="A518"/>
      <c r="B518"/>
      <c r="C518"/>
      <c r="D518"/>
      <c r="E518"/>
      <c r="F518"/>
      <c r="G518"/>
      <c r="H518"/>
      <c r="I518"/>
      <c r="J518"/>
      <c r="K518"/>
      <c r="L518"/>
      <c r="M518"/>
      <c r="N518"/>
      <c r="O518"/>
      <c r="P518"/>
      <c r="Q518"/>
      <c r="R518"/>
      <c r="S518"/>
    </row>
    <row r="519" spans="1:19">
      <c r="A519"/>
      <c r="B519"/>
      <c r="C519"/>
      <c r="D519"/>
      <c r="E519"/>
      <c r="F519"/>
      <c r="G519"/>
      <c r="H519"/>
      <c r="I519"/>
      <c r="J519"/>
      <c r="K519"/>
      <c r="L519"/>
      <c r="M519"/>
      <c r="N519"/>
      <c r="O519"/>
      <c r="P519"/>
      <c r="Q519"/>
      <c r="R519"/>
      <c r="S519"/>
    </row>
    <row r="520" spans="1:19">
      <c r="A520"/>
      <c r="B520"/>
      <c r="C520"/>
      <c r="D520"/>
      <c r="E520"/>
      <c r="F520"/>
      <c r="G520"/>
      <c r="H520"/>
      <c r="I520"/>
      <c r="J520"/>
      <c r="K520"/>
      <c r="L520"/>
      <c r="M520"/>
      <c r="N520"/>
      <c r="O520"/>
      <c r="P520"/>
      <c r="Q520"/>
      <c r="R520"/>
      <c r="S520"/>
    </row>
    <row r="521" spans="1:19">
      <c r="A521"/>
      <c r="B521"/>
      <c r="C521"/>
      <c r="D521"/>
      <c r="E521"/>
      <c r="F521"/>
      <c r="G521"/>
      <c r="H521"/>
      <c r="I521"/>
      <c r="J521"/>
      <c r="K521"/>
      <c r="L521"/>
      <c r="M521"/>
      <c r="N521"/>
      <c r="O521"/>
      <c r="P521"/>
      <c r="Q521"/>
      <c r="R521"/>
      <c r="S521"/>
    </row>
    <row r="522" spans="1:19">
      <c r="A522"/>
      <c r="B522"/>
      <c r="C522"/>
      <c r="D522"/>
      <c r="E522"/>
      <c r="F522"/>
      <c r="G522"/>
      <c r="H522"/>
      <c r="I522"/>
      <c r="J522"/>
      <c r="K522"/>
      <c r="L522"/>
      <c r="M522"/>
      <c r="N522"/>
      <c r="O522"/>
      <c r="P522"/>
      <c r="Q522"/>
      <c r="R522"/>
      <c r="S522"/>
    </row>
    <row r="523" spans="1:19">
      <c r="A523"/>
      <c r="B523"/>
      <c r="C523"/>
      <c r="D523"/>
      <c r="E523"/>
      <c r="F523"/>
      <c r="G523"/>
      <c r="H523"/>
      <c r="I523"/>
      <c r="J523"/>
      <c r="K523"/>
      <c r="L523"/>
      <c r="M523"/>
      <c r="N523"/>
      <c r="O523"/>
      <c r="P523"/>
      <c r="Q523"/>
      <c r="R523"/>
      <c r="S523"/>
    </row>
    <row r="524" spans="1:19">
      <c r="A524"/>
      <c r="B524"/>
      <c r="C524"/>
      <c r="D524"/>
      <c r="E524"/>
      <c r="F524"/>
      <c r="G524"/>
      <c r="H524"/>
      <c r="I524"/>
      <c r="J524"/>
      <c r="K524"/>
      <c r="L524"/>
      <c r="M524"/>
      <c r="N524"/>
      <c r="O524"/>
      <c r="P524"/>
      <c r="Q524"/>
      <c r="R524"/>
      <c r="S524"/>
    </row>
    <row r="525" spans="1:19">
      <c r="A525"/>
      <c r="B525"/>
      <c r="C525"/>
      <c r="D525"/>
      <c r="E525"/>
      <c r="F525"/>
      <c r="G525"/>
      <c r="H525"/>
      <c r="I525"/>
      <c r="J525"/>
      <c r="K525"/>
      <c r="L525"/>
      <c r="M525"/>
      <c r="N525"/>
      <c r="O525"/>
      <c r="P525"/>
      <c r="Q525"/>
      <c r="R525"/>
      <c r="S525"/>
    </row>
    <row r="526" spans="1:19">
      <c r="A526"/>
      <c r="B526"/>
      <c r="C526"/>
      <c r="D526"/>
      <c r="E526"/>
      <c r="F526"/>
      <c r="G526"/>
      <c r="H526"/>
      <c r="I526"/>
      <c r="J526"/>
      <c r="K526"/>
      <c r="L526"/>
      <c r="M526"/>
      <c r="N526"/>
      <c r="O526"/>
      <c r="P526"/>
      <c r="Q526"/>
      <c r="R526"/>
      <c r="S526"/>
    </row>
    <row r="527" spans="1:19">
      <c r="A527"/>
      <c r="B527"/>
      <c r="C527"/>
      <c r="D527"/>
      <c r="E527"/>
      <c r="F527"/>
      <c r="G527"/>
      <c r="H527"/>
      <c r="I527"/>
      <c r="J527"/>
      <c r="K527"/>
      <c r="L527"/>
      <c r="M527"/>
      <c r="N527"/>
      <c r="O527"/>
      <c r="P527"/>
      <c r="Q527"/>
      <c r="R527"/>
      <c r="S527"/>
    </row>
    <row r="528" spans="1:19">
      <c r="A528"/>
      <c r="B528"/>
      <c r="C528"/>
      <c r="D528"/>
      <c r="E528"/>
      <c r="F528"/>
      <c r="G528"/>
      <c r="H528"/>
      <c r="I528"/>
      <c r="J528"/>
      <c r="K528"/>
      <c r="L528"/>
      <c r="M528"/>
      <c r="N528"/>
      <c r="O528"/>
      <c r="P528"/>
      <c r="Q528"/>
      <c r="R528"/>
      <c r="S528"/>
    </row>
    <row r="529" spans="1:19">
      <c r="A529"/>
      <c r="B529"/>
      <c r="C529"/>
      <c r="D529"/>
      <c r="E529"/>
      <c r="F529"/>
      <c r="G529"/>
      <c r="H529"/>
      <c r="I529"/>
      <c r="J529"/>
      <c r="K529"/>
      <c r="L529"/>
      <c r="M529"/>
      <c r="N529"/>
      <c r="O529"/>
      <c r="P529"/>
      <c r="Q529"/>
      <c r="R529"/>
      <c r="S529"/>
    </row>
    <row r="530" spans="1:19">
      <c r="A530"/>
      <c r="B530"/>
      <c r="C530"/>
      <c r="D530"/>
      <c r="E530"/>
      <c r="F530"/>
      <c r="G530"/>
      <c r="H530"/>
      <c r="I530"/>
      <c r="J530"/>
      <c r="K530"/>
      <c r="L530"/>
      <c r="M530"/>
      <c r="N530"/>
      <c r="O530"/>
      <c r="P530"/>
      <c r="Q530"/>
      <c r="R530"/>
      <c r="S530"/>
    </row>
    <row r="531" spans="1:19">
      <c r="A531"/>
      <c r="B531"/>
      <c r="C531"/>
      <c r="D531"/>
      <c r="E531"/>
      <c r="F531"/>
      <c r="G531"/>
      <c r="H531"/>
      <c r="I531"/>
      <c r="J531"/>
      <c r="K531"/>
      <c r="L531"/>
      <c r="M531"/>
      <c r="N531"/>
      <c r="O531"/>
      <c r="P531"/>
      <c r="Q531"/>
      <c r="R531"/>
      <c r="S531"/>
    </row>
    <row r="532" spans="1:19">
      <c r="A532"/>
      <c r="B532"/>
      <c r="C532"/>
      <c r="D532"/>
      <c r="E532"/>
      <c r="F532"/>
      <c r="G532"/>
      <c r="H532"/>
      <c r="I532"/>
      <c r="J532"/>
      <c r="K532"/>
      <c r="L532"/>
      <c r="M532"/>
      <c r="N532"/>
      <c r="O532"/>
      <c r="P532"/>
      <c r="Q532"/>
      <c r="R532"/>
      <c r="S532"/>
    </row>
    <row r="533" spans="1:19">
      <c r="A533"/>
      <c r="B533"/>
      <c r="C533"/>
      <c r="D533"/>
      <c r="E533"/>
      <c r="F533"/>
      <c r="G533"/>
      <c r="H533"/>
      <c r="I533"/>
      <c r="J533"/>
      <c r="K533"/>
      <c r="L533"/>
      <c r="M533"/>
      <c r="N533"/>
      <c r="O533"/>
      <c r="P533"/>
      <c r="Q533"/>
      <c r="R533"/>
      <c r="S533"/>
    </row>
    <row r="534" spans="1:19">
      <c r="A534"/>
      <c r="B534"/>
      <c r="C534"/>
      <c r="D534"/>
      <c r="E534"/>
      <c r="F534"/>
      <c r="G534"/>
      <c r="H534"/>
      <c r="I534"/>
      <c r="J534"/>
      <c r="K534"/>
      <c r="L534"/>
      <c r="M534"/>
      <c r="N534"/>
      <c r="O534"/>
      <c r="P534"/>
      <c r="Q534"/>
      <c r="R534"/>
      <c r="S534"/>
    </row>
    <row r="535" spans="1:19">
      <c r="A535"/>
      <c r="B535"/>
      <c r="C535"/>
      <c r="D535"/>
      <c r="E535"/>
      <c r="F535"/>
      <c r="G535"/>
      <c r="H535"/>
      <c r="I535"/>
      <c r="J535"/>
      <c r="K535"/>
      <c r="L535"/>
      <c r="M535"/>
      <c r="N535"/>
      <c r="O535"/>
      <c r="P535"/>
      <c r="Q535"/>
      <c r="R535"/>
      <c r="S535"/>
    </row>
    <row r="536" spans="1:19">
      <c r="A536"/>
      <c r="B536"/>
      <c r="C536"/>
      <c r="D536"/>
      <c r="E536"/>
      <c r="F536"/>
      <c r="G536"/>
      <c r="H536"/>
      <c r="I536"/>
      <c r="J536"/>
      <c r="K536"/>
      <c r="L536"/>
      <c r="M536"/>
      <c r="N536"/>
      <c r="O536"/>
      <c r="P536"/>
      <c r="Q536"/>
      <c r="R536"/>
      <c r="S536"/>
    </row>
    <row r="537" spans="1:19">
      <c r="A537"/>
      <c r="B537"/>
      <c r="C537"/>
      <c r="D537"/>
      <c r="E537"/>
      <c r="F537"/>
      <c r="G537"/>
      <c r="H537"/>
      <c r="I537"/>
      <c r="J537"/>
      <c r="K537"/>
      <c r="L537"/>
      <c r="M537"/>
      <c r="N537"/>
      <c r="O537"/>
      <c r="P537"/>
      <c r="Q537"/>
      <c r="R537"/>
      <c r="S537"/>
    </row>
    <row r="538" spans="1:19">
      <c r="A538"/>
      <c r="B538"/>
      <c r="C538"/>
      <c r="D538"/>
      <c r="E538"/>
      <c r="F538"/>
      <c r="G538"/>
      <c r="H538"/>
      <c r="I538"/>
      <c r="J538"/>
      <c r="K538"/>
      <c r="L538"/>
      <c r="M538"/>
      <c r="N538"/>
      <c r="O538"/>
      <c r="P538"/>
      <c r="Q538"/>
      <c r="R538"/>
      <c r="S538"/>
    </row>
    <row r="539" spans="1:19">
      <c r="A539"/>
      <c r="B539"/>
      <c r="C539"/>
      <c r="D539"/>
      <c r="E539"/>
      <c r="F539"/>
      <c r="G539"/>
      <c r="H539"/>
      <c r="I539"/>
      <c r="J539"/>
      <c r="K539"/>
      <c r="L539"/>
      <c r="M539"/>
      <c r="N539"/>
      <c r="O539"/>
      <c r="P539"/>
      <c r="Q539"/>
      <c r="R539"/>
      <c r="S539"/>
    </row>
    <row r="540" spans="1:19">
      <c r="A540"/>
      <c r="B540"/>
      <c r="C540"/>
      <c r="D540"/>
      <c r="E540"/>
      <c r="F540"/>
      <c r="G540"/>
      <c r="H540"/>
      <c r="I540"/>
      <c r="J540"/>
      <c r="K540"/>
      <c r="L540"/>
      <c r="M540"/>
      <c r="N540"/>
      <c r="O540"/>
      <c r="P540"/>
      <c r="Q540"/>
      <c r="R540"/>
      <c r="S540"/>
    </row>
    <row r="541" spans="1:19">
      <c r="A541"/>
      <c r="B541"/>
      <c r="C541"/>
      <c r="D541"/>
      <c r="E541"/>
      <c r="F541"/>
      <c r="G541"/>
      <c r="H541"/>
      <c r="I541"/>
      <c r="J541"/>
      <c r="K541"/>
      <c r="L541"/>
      <c r="M541"/>
      <c r="N541"/>
      <c r="O541"/>
      <c r="P541"/>
      <c r="Q541"/>
      <c r="R541"/>
      <c r="S541"/>
    </row>
    <row r="542" spans="1:19">
      <c r="A542"/>
      <c r="B542"/>
      <c r="C542"/>
      <c r="D542"/>
      <c r="E542"/>
      <c r="F542"/>
      <c r="G542"/>
      <c r="H542"/>
      <c r="I542"/>
      <c r="J542"/>
      <c r="K542"/>
      <c r="L542"/>
      <c r="M542"/>
      <c r="N542"/>
      <c r="O542"/>
      <c r="P542"/>
      <c r="Q542"/>
      <c r="R542"/>
      <c r="S542"/>
    </row>
    <row r="543" spans="1:19">
      <c r="A543"/>
      <c r="B543"/>
      <c r="C543"/>
      <c r="D543"/>
      <c r="E543"/>
      <c r="F543"/>
      <c r="G543"/>
      <c r="H543"/>
      <c r="I543"/>
      <c r="J543"/>
      <c r="K543"/>
      <c r="L543"/>
      <c r="M543"/>
      <c r="N543"/>
      <c r="O543"/>
      <c r="P543"/>
      <c r="Q543"/>
      <c r="R543"/>
      <c r="S543"/>
    </row>
    <row r="544" spans="1:19">
      <c r="A544"/>
      <c r="B544"/>
      <c r="C544"/>
      <c r="D544"/>
      <c r="E544"/>
      <c r="F544"/>
      <c r="G544"/>
      <c r="H544"/>
      <c r="I544"/>
      <c r="J544"/>
      <c r="K544"/>
      <c r="L544"/>
      <c r="M544"/>
      <c r="N544"/>
      <c r="O544"/>
      <c r="P544"/>
      <c r="Q544"/>
      <c r="R544"/>
      <c r="S544"/>
    </row>
    <row r="545" spans="1:19">
      <c r="A545"/>
      <c r="B545"/>
      <c r="C545"/>
      <c r="D545"/>
      <c r="E545"/>
      <c r="F545"/>
      <c r="G545"/>
      <c r="H545"/>
      <c r="I545"/>
      <c r="J545"/>
      <c r="K545"/>
      <c r="L545"/>
      <c r="M545"/>
      <c r="N545"/>
      <c r="O545"/>
      <c r="P545"/>
      <c r="Q545"/>
      <c r="R545"/>
      <c r="S545"/>
    </row>
    <row r="546" spans="1:19">
      <c r="A546"/>
      <c r="B546"/>
      <c r="C546"/>
      <c r="D546"/>
      <c r="E546"/>
      <c r="F546"/>
      <c r="G546"/>
      <c r="H546"/>
      <c r="I546"/>
      <c r="J546"/>
      <c r="K546"/>
      <c r="L546"/>
      <c r="M546"/>
      <c r="N546"/>
      <c r="O546"/>
      <c r="P546"/>
      <c r="Q546"/>
      <c r="R546"/>
      <c r="S546"/>
    </row>
    <row r="547" spans="1:19">
      <c r="A547"/>
      <c r="B547"/>
      <c r="C547"/>
      <c r="D547"/>
      <c r="E547"/>
      <c r="F547"/>
      <c r="G547"/>
      <c r="H547"/>
      <c r="I547"/>
      <c r="J547"/>
      <c r="K547"/>
      <c r="L547"/>
      <c r="M547"/>
      <c r="N547"/>
      <c r="O547"/>
      <c r="P547"/>
      <c r="Q547"/>
      <c r="R547"/>
      <c r="S547"/>
    </row>
    <row r="548" spans="1:19">
      <c r="A548"/>
      <c r="B548"/>
      <c r="C548"/>
      <c r="D548"/>
      <c r="E548"/>
      <c r="F548"/>
      <c r="G548"/>
      <c r="H548"/>
      <c r="I548"/>
      <c r="J548"/>
      <c r="K548"/>
      <c r="L548"/>
      <c r="M548"/>
      <c r="N548"/>
      <c r="O548"/>
      <c r="P548"/>
      <c r="Q548"/>
      <c r="R548"/>
      <c r="S548"/>
    </row>
    <row r="549" spans="1:19">
      <c r="A549"/>
      <c r="B549"/>
      <c r="C549"/>
      <c r="D549"/>
      <c r="E549"/>
      <c r="F549"/>
      <c r="G549"/>
      <c r="H549"/>
      <c r="I549"/>
      <c r="J549"/>
      <c r="K549"/>
      <c r="L549"/>
      <c r="M549"/>
      <c r="N549"/>
      <c r="O549"/>
      <c r="P549"/>
      <c r="Q549"/>
      <c r="R549"/>
      <c r="S549"/>
    </row>
    <row r="550" spans="1:19">
      <c r="A550"/>
      <c r="B550"/>
      <c r="C550"/>
      <c r="D550"/>
      <c r="E550"/>
      <c r="F550"/>
      <c r="G550"/>
      <c r="H550"/>
      <c r="I550"/>
      <c r="J550"/>
      <c r="K550"/>
      <c r="L550"/>
      <c r="M550"/>
      <c r="N550"/>
      <c r="O550"/>
      <c r="P550"/>
      <c r="Q550"/>
      <c r="R550"/>
      <c r="S550"/>
    </row>
    <row r="551" spans="1:19">
      <c r="A551"/>
      <c r="B551"/>
      <c r="C551"/>
      <c r="D551"/>
      <c r="E551"/>
      <c r="F551"/>
      <c r="G551"/>
      <c r="H551"/>
      <c r="I551"/>
      <c r="J551"/>
      <c r="K551"/>
      <c r="L551"/>
      <c r="M551"/>
      <c r="N551"/>
      <c r="O551"/>
      <c r="P551"/>
      <c r="Q551"/>
      <c r="R551"/>
      <c r="S551"/>
    </row>
    <row r="552" spans="1:19">
      <c r="A552"/>
      <c r="B552"/>
      <c r="C552"/>
      <c r="D552"/>
      <c r="E552"/>
      <c r="F552"/>
      <c r="G552"/>
      <c r="H552"/>
      <c r="I552"/>
      <c r="J552"/>
      <c r="K552"/>
      <c r="L552"/>
      <c r="M552"/>
      <c r="N552"/>
      <c r="O552"/>
      <c r="P552"/>
      <c r="Q552"/>
      <c r="R552"/>
      <c r="S552"/>
    </row>
    <row r="553" spans="1:19">
      <c r="A553"/>
      <c r="B553"/>
      <c r="C553"/>
      <c r="D553"/>
      <c r="E553"/>
      <c r="F553"/>
      <c r="G553"/>
      <c r="H553"/>
      <c r="I553"/>
      <c r="J553"/>
      <c r="K553"/>
      <c r="L553"/>
      <c r="M553"/>
      <c r="N553"/>
      <c r="O553"/>
      <c r="P553"/>
      <c r="Q553"/>
      <c r="R553"/>
      <c r="S553"/>
    </row>
    <row r="554" spans="1:19">
      <c r="A554"/>
      <c r="B554"/>
      <c r="C554"/>
      <c r="D554"/>
      <c r="E554"/>
      <c r="F554"/>
      <c r="G554"/>
      <c r="H554"/>
      <c r="I554"/>
      <c r="J554"/>
      <c r="K554"/>
      <c r="L554"/>
      <c r="M554"/>
      <c r="N554"/>
      <c r="O554"/>
      <c r="P554"/>
      <c r="Q554"/>
      <c r="R554"/>
      <c r="S554"/>
    </row>
    <row r="555" spans="1:19">
      <c r="A555"/>
      <c r="B555"/>
      <c r="C555"/>
      <c r="D555"/>
      <c r="E555"/>
      <c r="F555"/>
      <c r="G555"/>
      <c r="H555"/>
      <c r="I555"/>
      <c r="J555"/>
      <c r="K555"/>
      <c r="L555"/>
      <c r="M555"/>
      <c r="N555"/>
      <c r="O555"/>
      <c r="P555"/>
      <c r="Q555"/>
      <c r="R555"/>
      <c r="S555"/>
    </row>
    <row r="556" spans="1:19">
      <c r="A556"/>
      <c r="B556"/>
      <c r="C556"/>
      <c r="D556"/>
      <c r="E556"/>
      <c r="F556"/>
      <c r="G556"/>
      <c r="H556"/>
      <c r="I556"/>
      <c r="J556"/>
      <c r="K556"/>
      <c r="L556"/>
      <c r="M556"/>
      <c r="N556"/>
      <c r="O556"/>
      <c r="P556"/>
      <c r="Q556"/>
      <c r="R556"/>
      <c r="S556"/>
    </row>
    <row r="557" spans="1:19">
      <c r="A557"/>
      <c r="B557"/>
      <c r="C557"/>
      <c r="D557"/>
      <c r="E557"/>
      <c r="F557"/>
      <c r="G557"/>
      <c r="H557"/>
      <c r="I557"/>
      <c r="J557"/>
      <c r="K557"/>
      <c r="L557"/>
      <c r="M557"/>
      <c r="N557"/>
      <c r="O557"/>
      <c r="P557"/>
      <c r="Q557"/>
      <c r="R557"/>
      <c r="S557"/>
    </row>
    <row r="558" spans="1:19">
      <c r="A558"/>
      <c r="B558"/>
      <c r="C558"/>
      <c r="D558"/>
      <c r="E558"/>
      <c r="F558"/>
      <c r="G558"/>
      <c r="H558"/>
      <c r="I558"/>
      <c r="J558"/>
      <c r="K558"/>
      <c r="L558"/>
      <c r="M558"/>
      <c r="N558"/>
      <c r="O558"/>
      <c r="P558"/>
      <c r="Q558"/>
      <c r="R558"/>
      <c r="S558"/>
    </row>
    <row r="559" spans="1:19">
      <c r="A559"/>
      <c r="B559"/>
      <c r="C559"/>
      <c r="D559"/>
      <c r="E559"/>
      <c r="F559"/>
      <c r="G559"/>
      <c r="H559"/>
      <c r="I559"/>
      <c r="J559"/>
      <c r="K559"/>
      <c r="L559"/>
      <c r="M559"/>
      <c r="N559"/>
      <c r="O559"/>
      <c r="P559"/>
      <c r="Q559"/>
      <c r="R559"/>
      <c r="S559"/>
    </row>
    <row r="560" spans="1:19">
      <c r="A560"/>
      <c r="B560"/>
      <c r="C560"/>
      <c r="D560"/>
      <c r="E560"/>
      <c r="F560"/>
      <c r="G560"/>
      <c r="H560"/>
      <c r="I560"/>
      <c r="J560"/>
      <c r="K560"/>
      <c r="L560"/>
      <c r="M560"/>
      <c r="N560"/>
      <c r="O560"/>
      <c r="P560"/>
      <c r="Q560"/>
      <c r="R560"/>
      <c r="S560"/>
    </row>
    <row r="561" spans="1:19">
      <c r="A561"/>
      <c r="B561"/>
      <c r="C561"/>
      <c r="D561"/>
      <c r="E561"/>
      <c r="F561"/>
      <c r="G561"/>
      <c r="H561"/>
      <c r="I561"/>
      <c r="J561"/>
      <c r="K561"/>
      <c r="L561"/>
      <c r="M561"/>
      <c r="N561"/>
      <c r="O561"/>
      <c r="P561"/>
      <c r="Q561"/>
      <c r="R561"/>
      <c r="S561"/>
    </row>
    <row r="562" spans="1:19">
      <c r="A562"/>
      <c r="B562"/>
      <c r="C562"/>
      <c r="D562"/>
      <c r="E562"/>
      <c r="F562"/>
      <c r="G562"/>
      <c r="H562"/>
      <c r="I562"/>
      <c r="J562"/>
      <c r="K562"/>
      <c r="L562"/>
      <c r="M562"/>
      <c r="N562"/>
      <c r="O562"/>
      <c r="P562"/>
      <c r="Q562"/>
      <c r="R562"/>
      <c r="S562"/>
    </row>
    <row r="563" spans="1:19">
      <c r="A563"/>
      <c r="B563"/>
      <c r="C563"/>
      <c r="D563"/>
      <c r="E563"/>
      <c r="F563"/>
      <c r="G563"/>
      <c r="H563"/>
      <c r="I563"/>
      <c r="J563"/>
      <c r="K563"/>
      <c r="L563"/>
      <c r="M563"/>
      <c r="N563"/>
      <c r="O563"/>
      <c r="P563"/>
      <c r="Q563"/>
      <c r="R563"/>
      <c r="S563"/>
    </row>
    <row r="564" spans="1:19">
      <c r="A564"/>
      <c r="B564"/>
      <c r="C564"/>
      <c r="D564"/>
      <c r="E564"/>
      <c r="F564"/>
      <c r="G564"/>
      <c r="H564"/>
      <c r="I564"/>
      <c r="J564"/>
      <c r="K564"/>
      <c r="L564"/>
      <c r="M564"/>
      <c r="N564"/>
      <c r="O564"/>
      <c r="P564"/>
      <c r="Q564"/>
      <c r="R564"/>
      <c r="S564"/>
    </row>
    <row r="565" spans="1:19">
      <c r="A565"/>
      <c r="B565"/>
      <c r="C565"/>
      <c r="D565"/>
      <c r="E565"/>
      <c r="F565"/>
      <c r="G565"/>
      <c r="H565"/>
      <c r="I565"/>
      <c r="J565"/>
      <c r="K565"/>
      <c r="L565"/>
      <c r="M565"/>
      <c r="N565"/>
      <c r="O565"/>
      <c r="P565"/>
      <c r="Q565"/>
      <c r="R565"/>
      <c r="S565"/>
    </row>
    <row r="566" spans="1:19">
      <c r="A566"/>
      <c r="B566"/>
      <c r="C566"/>
      <c r="D566"/>
      <c r="E566"/>
      <c r="F566"/>
      <c r="G566"/>
      <c r="H566"/>
      <c r="I566"/>
      <c r="J566"/>
      <c r="K566"/>
      <c r="L566"/>
      <c r="M566"/>
      <c r="N566"/>
      <c r="O566"/>
      <c r="P566"/>
      <c r="Q566"/>
      <c r="R566"/>
      <c r="S566"/>
    </row>
    <row r="567" spans="1:19">
      <c r="A567"/>
      <c r="B567"/>
      <c r="C567"/>
      <c r="D567"/>
      <c r="E567"/>
      <c r="F567"/>
      <c r="G567"/>
      <c r="H567"/>
      <c r="I567"/>
      <c r="J567"/>
      <c r="K567"/>
      <c r="L567"/>
      <c r="M567"/>
      <c r="N567"/>
      <c r="O567"/>
      <c r="P567"/>
      <c r="Q567"/>
      <c r="R567"/>
      <c r="S567"/>
    </row>
    <row r="568" spans="1:19">
      <c r="A568"/>
      <c r="B568"/>
      <c r="C568"/>
      <c r="D568"/>
      <c r="E568"/>
      <c r="F568"/>
      <c r="G568"/>
      <c r="H568"/>
      <c r="I568"/>
      <c r="J568"/>
      <c r="K568"/>
      <c r="L568"/>
      <c r="M568"/>
      <c r="N568"/>
      <c r="O568"/>
      <c r="P568"/>
      <c r="Q568"/>
      <c r="R568"/>
      <c r="S568"/>
    </row>
    <row r="569" spans="1:19">
      <c r="A569"/>
      <c r="B569"/>
      <c r="C569"/>
      <c r="D569"/>
      <c r="E569"/>
      <c r="F569"/>
      <c r="G569"/>
      <c r="H569"/>
      <c r="I569"/>
      <c r="J569"/>
      <c r="K569"/>
      <c r="L569"/>
      <c r="M569"/>
      <c r="N569"/>
      <c r="O569"/>
      <c r="P569"/>
      <c r="Q569"/>
      <c r="R569"/>
      <c r="S569"/>
    </row>
    <row r="570" spans="1:19">
      <c r="A570"/>
      <c r="B570"/>
      <c r="C570"/>
      <c r="D570"/>
      <c r="E570"/>
      <c r="F570"/>
      <c r="G570"/>
      <c r="H570"/>
      <c r="I570"/>
      <c r="J570"/>
      <c r="K570"/>
      <c r="L570"/>
      <c r="M570"/>
      <c r="N570"/>
      <c r="O570"/>
      <c r="P570"/>
      <c r="Q570"/>
      <c r="R570"/>
      <c r="S570"/>
    </row>
    <row r="571" spans="1:19">
      <c r="A571"/>
      <c r="B571"/>
      <c r="C571"/>
      <c r="D571"/>
      <c r="E571"/>
      <c r="F571"/>
      <c r="G571"/>
      <c r="H571"/>
      <c r="I571"/>
      <c r="J571"/>
      <c r="K571"/>
      <c r="L571"/>
      <c r="M571"/>
      <c r="N571"/>
      <c r="O571"/>
      <c r="P571"/>
      <c r="Q571"/>
      <c r="R571"/>
      <c r="S571"/>
    </row>
    <row r="572" spans="1:19">
      <c r="A572"/>
      <c r="B572"/>
      <c r="C572"/>
      <c r="D572"/>
      <c r="E572"/>
      <c r="F572"/>
      <c r="G572"/>
      <c r="H572"/>
      <c r="I572"/>
      <c r="J572"/>
      <c r="K572"/>
      <c r="L572"/>
      <c r="M572"/>
      <c r="N572"/>
      <c r="O572"/>
      <c r="P572"/>
      <c r="Q572"/>
      <c r="R572"/>
      <c r="S572"/>
    </row>
    <row r="573" spans="1:19">
      <c r="A573"/>
      <c r="B573"/>
      <c r="C573"/>
      <c r="D573"/>
      <c r="E573"/>
      <c r="F573"/>
      <c r="G573"/>
      <c r="H573"/>
      <c r="I573"/>
      <c r="J573"/>
      <c r="K573"/>
      <c r="L573"/>
      <c r="M573"/>
      <c r="N573"/>
      <c r="O573"/>
      <c r="P573"/>
      <c r="Q573"/>
      <c r="R573"/>
      <c r="S573"/>
    </row>
    <row r="574" spans="1:19">
      <c r="A574"/>
      <c r="B574"/>
      <c r="C574"/>
      <c r="D574"/>
      <c r="E574"/>
      <c r="F574"/>
      <c r="G574"/>
      <c r="H574"/>
      <c r="I574"/>
      <c r="J574"/>
      <c r="K574"/>
      <c r="L574"/>
      <c r="M574"/>
      <c r="N574"/>
      <c r="O574"/>
      <c r="P574"/>
      <c r="Q574"/>
      <c r="R574"/>
      <c r="S574"/>
    </row>
    <row r="575" spans="1:19">
      <c r="A575"/>
      <c r="B575"/>
      <c r="C575"/>
      <c r="D575"/>
      <c r="E575"/>
      <c r="F575"/>
      <c r="G575"/>
      <c r="H575"/>
      <c r="I575"/>
      <c r="J575"/>
      <c r="K575"/>
      <c r="L575"/>
      <c r="M575"/>
      <c r="N575"/>
      <c r="O575"/>
      <c r="P575"/>
      <c r="Q575"/>
      <c r="R575"/>
      <c r="S575"/>
    </row>
    <row r="576" spans="1:19">
      <c r="A576"/>
      <c r="B576"/>
      <c r="C576"/>
      <c r="D576"/>
      <c r="E576"/>
      <c r="F576"/>
      <c r="G576"/>
      <c r="H576"/>
      <c r="I576"/>
      <c r="J576"/>
      <c r="K576"/>
      <c r="L576"/>
      <c r="M576"/>
      <c r="N576"/>
      <c r="O576"/>
      <c r="P576"/>
      <c r="Q576"/>
      <c r="R576"/>
      <c r="S576"/>
    </row>
    <row r="577" spans="1:19">
      <c r="A577"/>
      <c r="B577"/>
      <c r="C577"/>
      <c r="D577"/>
      <c r="E577"/>
      <c r="F577"/>
      <c r="G577"/>
      <c r="H577"/>
      <c r="I577"/>
      <c r="J577"/>
      <c r="K577"/>
      <c r="L577"/>
      <c r="M577"/>
      <c r="N577"/>
      <c r="O577"/>
      <c r="P577"/>
      <c r="Q577"/>
      <c r="R577"/>
      <c r="S577"/>
    </row>
    <row r="578" spans="1:19">
      <c r="A578"/>
      <c r="B578"/>
      <c r="C578"/>
      <c r="D578"/>
      <c r="E578"/>
      <c r="F578"/>
      <c r="G578"/>
      <c r="H578"/>
      <c r="I578"/>
      <c r="J578"/>
      <c r="K578"/>
      <c r="L578"/>
      <c r="M578"/>
      <c r="N578"/>
      <c r="O578"/>
      <c r="P578"/>
      <c r="Q578"/>
      <c r="R578"/>
      <c r="S578"/>
    </row>
    <row r="579" spans="1:19">
      <c r="A579"/>
      <c r="B579"/>
      <c r="C579"/>
      <c r="D579"/>
      <c r="E579"/>
      <c r="F579"/>
      <c r="G579"/>
      <c r="H579"/>
      <c r="I579"/>
      <c r="J579"/>
      <c r="K579"/>
      <c r="L579"/>
      <c r="M579"/>
      <c r="N579"/>
      <c r="O579"/>
      <c r="P579"/>
      <c r="Q579"/>
      <c r="R579"/>
      <c r="S579"/>
    </row>
    <row r="580" spans="1:19">
      <c r="A580"/>
      <c r="B580"/>
      <c r="C580"/>
      <c r="D580"/>
      <c r="E580"/>
      <c r="F580"/>
      <c r="G580"/>
      <c r="H580"/>
      <c r="I580"/>
      <c r="J580"/>
      <c r="K580"/>
      <c r="L580"/>
      <c r="M580"/>
      <c r="N580"/>
      <c r="O580"/>
      <c r="P580"/>
      <c r="Q580"/>
      <c r="R580"/>
      <c r="S580"/>
    </row>
    <row r="581" spans="1:19">
      <c r="A581"/>
      <c r="B581"/>
      <c r="C581"/>
      <c r="D581"/>
      <c r="E581"/>
      <c r="F581"/>
      <c r="G581"/>
      <c r="H581"/>
      <c r="I581"/>
      <c r="J581"/>
      <c r="K581"/>
      <c r="L581"/>
      <c r="M581"/>
      <c r="N581"/>
      <c r="O581"/>
      <c r="P581"/>
      <c r="Q581"/>
      <c r="R581"/>
      <c r="S581"/>
    </row>
    <row r="582" spans="1:19">
      <c r="A582"/>
      <c r="B582"/>
      <c r="C582"/>
      <c r="D582"/>
      <c r="E582"/>
      <c r="F582"/>
      <c r="G582"/>
      <c r="H582"/>
      <c r="I582"/>
      <c r="J582"/>
      <c r="K582"/>
      <c r="L582"/>
      <c r="M582"/>
      <c r="N582"/>
      <c r="O582"/>
      <c r="P582"/>
      <c r="Q582"/>
      <c r="R582"/>
      <c r="S582"/>
    </row>
    <row r="583" spans="1:19">
      <c r="A583"/>
      <c r="B583"/>
      <c r="C583"/>
      <c r="D583"/>
      <c r="E583"/>
      <c r="F583"/>
      <c r="G583"/>
      <c r="H583"/>
      <c r="I583"/>
      <c r="J583"/>
      <c r="K583"/>
      <c r="L583"/>
      <c r="M583"/>
      <c r="N583"/>
      <c r="O583"/>
      <c r="P583"/>
      <c r="Q583"/>
      <c r="R583"/>
      <c r="S583"/>
    </row>
    <row r="584" spans="1:19">
      <c r="A584"/>
      <c r="B584"/>
      <c r="C584"/>
      <c r="D584"/>
      <c r="E584"/>
      <c r="F584"/>
      <c r="G584"/>
      <c r="H584"/>
      <c r="I584"/>
      <c r="J584"/>
      <c r="K584"/>
      <c r="L584"/>
      <c r="M584"/>
      <c r="N584"/>
      <c r="O584"/>
      <c r="P584"/>
      <c r="Q584"/>
      <c r="R584"/>
      <c r="S584"/>
    </row>
    <row r="585" spans="1:19">
      <c r="A585"/>
      <c r="B585"/>
      <c r="C585"/>
      <c r="D585"/>
      <c r="E585"/>
      <c r="F585"/>
      <c r="G585"/>
      <c r="H585"/>
      <c r="I585"/>
      <c r="J585"/>
      <c r="K585"/>
      <c r="L585"/>
      <c r="M585"/>
      <c r="N585"/>
      <c r="O585"/>
      <c r="P585"/>
      <c r="Q585"/>
      <c r="R585"/>
      <c r="S585"/>
    </row>
    <row r="586" spans="1:19">
      <c r="A586"/>
      <c r="B586"/>
      <c r="C586"/>
      <c r="D586"/>
      <c r="E586"/>
      <c r="F586"/>
      <c r="G586"/>
      <c r="H586"/>
      <c r="I586"/>
      <c r="J586"/>
      <c r="K586"/>
      <c r="L586"/>
      <c r="M586"/>
      <c r="N586"/>
      <c r="O586"/>
      <c r="P586"/>
      <c r="Q586"/>
      <c r="R586"/>
      <c r="S586"/>
    </row>
    <row r="587" spans="1:19">
      <c r="A587"/>
      <c r="B587"/>
      <c r="C587"/>
      <c r="D587"/>
      <c r="E587"/>
      <c r="F587"/>
      <c r="G587"/>
      <c r="H587"/>
      <c r="I587"/>
      <c r="J587"/>
      <c r="K587"/>
      <c r="L587"/>
      <c r="M587"/>
      <c r="N587"/>
      <c r="O587"/>
      <c r="P587"/>
      <c r="Q587"/>
      <c r="R587"/>
      <c r="S587"/>
    </row>
    <row r="588" spans="1:19">
      <c r="A588"/>
      <c r="B588"/>
      <c r="C588"/>
      <c r="D588"/>
      <c r="E588"/>
      <c r="F588"/>
      <c r="G588"/>
      <c r="H588"/>
      <c r="I588"/>
      <c r="J588"/>
      <c r="K588"/>
      <c r="L588"/>
      <c r="M588"/>
      <c r="N588"/>
      <c r="O588"/>
      <c r="P588"/>
      <c r="Q588"/>
      <c r="R588"/>
      <c r="S588"/>
    </row>
    <row r="589" spans="1:19">
      <c r="A589"/>
      <c r="B589"/>
      <c r="C589"/>
      <c r="D589"/>
      <c r="E589"/>
      <c r="F589"/>
      <c r="G589"/>
      <c r="H589"/>
      <c r="I589"/>
      <c r="J589"/>
      <c r="K589"/>
      <c r="L589"/>
      <c r="M589"/>
      <c r="N589"/>
      <c r="O589"/>
      <c r="P589"/>
      <c r="Q589"/>
      <c r="R589"/>
      <c r="S589"/>
    </row>
    <row r="590" spans="1:19">
      <c r="A590"/>
      <c r="B590"/>
      <c r="C590"/>
      <c r="D590"/>
      <c r="E590"/>
      <c r="F590"/>
      <c r="G590"/>
      <c r="H590"/>
      <c r="I590"/>
      <c r="J590"/>
      <c r="K590"/>
      <c r="L590"/>
      <c r="M590"/>
      <c r="N590"/>
      <c r="O590"/>
      <c r="P590"/>
      <c r="Q590"/>
      <c r="R590"/>
      <c r="S590"/>
    </row>
    <row r="591" spans="1:19">
      <c r="A591"/>
      <c r="B591"/>
      <c r="C591"/>
      <c r="D591"/>
      <c r="E591"/>
      <c r="F591"/>
      <c r="G591"/>
      <c r="H591"/>
      <c r="I591"/>
      <c r="J591"/>
      <c r="K591"/>
      <c r="L591"/>
      <c r="M591"/>
      <c r="N591"/>
      <c r="O591"/>
      <c r="P591"/>
      <c r="Q591"/>
      <c r="R591"/>
      <c r="S591"/>
    </row>
    <row r="592" spans="1:19">
      <c r="A592"/>
      <c r="B592"/>
      <c r="C592"/>
      <c r="D592"/>
      <c r="E592"/>
      <c r="F592"/>
      <c r="G592"/>
      <c r="H592"/>
      <c r="I592"/>
      <c r="J592"/>
      <c r="K592"/>
      <c r="L592"/>
      <c r="M592"/>
      <c r="N592"/>
      <c r="O592"/>
      <c r="P592"/>
      <c r="Q592"/>
      <c r="R592"/>
      <c r="S592"/>
    </row>
    <row r="593" spans="1:19">
      <c r="A593"/>
      <c r="B593"/>
      <c r="C593"/>
      <c r="D593"/>
      <c r="E593"/>
      <c r="F593"/>
      <c r="G593"/>
      <c r="H593"/>
      <c r="I593"/>
      <c r="J593"/>
      <c r="K593"/>
      <c r="L593"/>
      <c r="M593"/>
      <c r="N593"/>
      <c r="O593"/>
      <c r="P593"/>
      <c r="Q593"/>
      <c r="R593"/>
      <c r="S593"/>
    </row>
    <row r="594" spans="1:19">
      <c r="A594"/>
      <c r="B594"/>
      <c r="C594"/>
      <c r="D594"/>
      <c r="E594"/>
      <c r="F594"/>
      <c r="G594"/>
      <c r="H594"/>
      <c r="I594"/>
      <c r="J594"/>
      <c r="K594"/>
      <c r="L594"/>
      <c r="M594"/>
      <c r="N594"/>
      <c r="O594"/>
      <c r="P594"/>
      <c r="Q594"/>
      <c r="R594"/>
      <c r="S594"/>
    </row>
    <row r="595" spans="1:19">
      <c r="A595"/>
      <c r="B595"/>
      <c r="C595"/>
      <c r="D595"/>
      <c r="E595"/>
      <c r="F595"/>
      <c r="G595"/>
      <c r="H595"/>
      <c r="I595"/>
      <c r="J595"/>
      <c r="K595"/>
      <c r="L595"/>
      <c r="M595"/>
      <c r="N595"/>
      <c r="O595"/>
      <c r="P595"/>
      <c r="Q595"/>
      <c r="R595"/>
      <c r="S595"/>
    </row>
    <row r="596" spans="1:19">
      <c r="A596"/>
      <c r="B596"/>
      <c r="C596"/>
      <c r="D596"/>
      <c r="E596"/>
      <c r="F596"/>
      <c r="G596"/>
      <c r="H596"/>
      <c r="I596"/>
      <c r="J596"/>
      <c r="K596"/>
      <c r="L596"/>
      <c r="M596"/>
      <c r="N596"/>
      <c r="O596"/>
      <c r="P596"/>
      <c r="Q596"/>
      <c r="R596"/>
      <c r="S596"/>
    </row>
    <row r="597" spans="1:19">
      <c r="A597"/>
      <c r="B597"/>
      <c r="C597"/>
      <c r="D597"/>
      <c r="E597"/>
      <c r="F597"/>
      <c r="G597"/>
      <c r="H597"/>
      <c r="I597"/>
      <c r="J597"/>
      <c r="K597"/>
      <c r="L597"/>
      <c r="M597"/>
      <c r="N597"/>
      <c r="O597"/>
      <c r="P597"/>
      <c r="Q597"/>
      <c r="R597"/>
      <c r="S597"/>
    </row>
    <row r="598" spans="1:19">
      <c r="A598"/>
      <c r="B598"/>
      <c r="C598"/>
      <c r="D598"/>
      <c r="E598"/>
      <c r="F598"/>
      <c r="G598"/>
      <c r="H598"/>
      <c r="I598"/>
      <c r="J598"/>
      <c r="K598"/>
      <c r="L598"/>
      <c r="M598"/>
      <c r="N598"/>
      <c r="O598"/>
      <c r="P598"/>
      <c r="Q598"/>
      <c r="R598"/>
      <c r="S598"/>
    </row>
    <row r="599" spans="1:19">
      <c r="A599"/>
      <c r="B599"/>
      <c r="C599"/>
      <c r="D599"/>
      <c r="E599"/>
      <c r="F599"/>
      <c r="G599"/>
      <c r="H599"/>
      <c r="I599"/>
      <c r="J599"/>
      <c r="K599"/>
      <c r="L599"/>
      <c r="M599"/>
      <c r="N599"/>
      <c r="O599"/>
      <c r="P599"/>
      <c r="Q599"/>
      <c r="R599"/>
      <c r="S599"/>
    </row>
    <row r="600" spans="1:19">
      <c r="A600"/>
      <c r="B600"/>
      <c r="C600"/>
      <c r="D600"/>
      <c r="E600"/>
      <c r="F600"/>
      <c r="G600"/>
      <c r="H600"/>
      <c r="I600"/>
      <c r="J600"/>
      <c r="K600"/>
      <c r="L600"/>
      <c r="M600"/>
      <c r="N600"/>
      <c r="O600"/>
      <c r="P600"/>
      <c r="Q600"/>
      <c r="R600"/>
      <c r="S600"/>
    </row>
    <row r="601" spans="1:19">
      <c r="A601"/>
      <c r="B601"/>
      <c r="C601"/>
      <c r="D601"/>
      <c r="E601"/>
      <c r="F601"/>
      <c r="G601"/>
      <c r="H601"/>
      <c r="I601"/>
      <c r="J601"/>
      <c r="K601"/>
      <c r="L601"/>
      <c r="M601"/>
      <c r="N601"/>
      <c r="O601"/>
      <c r="P601"/>
      <c r="Q601"/>
      <c r="R601"/>
      <c r="S601"/>
    </row>
    <row r="602" spans="1:19">
      <c r="A602"/>
      <c r="B602"/>
      <c r="C602"/>
      <c r="D602"/>
      <c r="E602"/>
      <c r="F602"/>
      <c r="G602"/>
      <c r="H602"/>
      <c r="I602"/>
      <c r="J602"/>
      <c r="K602"/>
      <c r="L602"/>
      <c r="M602"/>
      <c r="N602"/>
      <c r="O602"/>
      <c r="P602"/>
      <c r="Q602"/>
      <c r="R602"/>
      <c r="S602"/>
    </row>
    <row r="603" spans="1:19">
      <c r="A603"/>
      <c r="B603"/>
      <c r="C603"/>
      <c r="D603"/>
      <c r="E603"/>
      <c r="F603"/>
      <c r="G603"/>
      <c r="H603"/>
      <c r="I603"/>
      <c r="J603"/>
      <c r="K603"/>
      <c r="L603"/>
      <c r="M603"/>
      <c r="N603"/>
      <c r="O603"/>
      <c r="P603"/>
      <c r="Q603"/>
      <c r="R603"/>
      <c r="S603"/>
    </row>
    <row r="604" spans="1:19">
      <c r="A604"/>
      <c r="B604"/>
      <c r="C604"/>
      <c r="D604"/>
      <c r="E604"/>
      <c r="F604"/>
      <c r="G604"/>
      <c r="H604"/>
      <c r="I604"/>
      <c r="J604"/>
      <c r="K604"/>
      <c r="L604"/>
      <c r="M604"/>
      <c r="N604"/>
      <c r="O604"/>
      <c r="P604"/>
      <c r="Q604"/>
      <c r="R604"/>
      <c r="S604"/>
    </row>
    <row r="605" spans="1:19">
      <c r="A605"/>
      <c r="B605"/>
      <c r="C605"/>
      <c r="D605"/>
      <c r="E605"/>
      <c r="F605"/>
      <c r="G605"/>
      <c r="H605"/>
      <c r="I605"/>
      <c r="J605"/>
      <c r="K605"/>
      <c r="L605"/>
      <c r="M605"/>
      <c r="N605"/>
      <c r="O605"/>
      <c r="P605"/>
      <c r="Q605"/>
      <c r="R605"/>
      <c r="S605"/>
    </row>
    <row r="606" spans="1:19">
      <c r="A606"/>
      <c r="B606"/>
      <c r="C606"/>
      <c r="D606"/>
      <c r="E606"/>
      <c r="F606"/>
      <c r="G606"/>
      <c r="H606"/>
      <c r="I606"/>
      <c r="J606"/>
      <c r="K606"/>
      <c r="L606"/>
      <c r="M606"/>
      <c r="N606"/>
      <c r="O606"/>
      <c r="P606"/>
      <c r="Q606"/>
      <c r="R606"/>
      <c r="S606"/>
    </row>
    <row r="607" spans="1:19">
      <c r="A607"/>
      <c r="B607"/>
      <c r="C607"/>
      <c r="D607"/>
      <c r="E607"/>
      <c r="F607"/>
      <c r="G607"/>
      <c r="H607"/>
      <c r="I607"/>
      <c r="J607"/>
      <c r="K607"/>
      <c r="L607"/>
      <c r="M607"/>
      <c r="N607"/>
      <c r="O607"/>
      <c r="P607"/>
      <c r="Q607"/>
      <c r="R607"/>
      <c r="S607"/>
    </row>
    <row r="608" spans="1:19">
      <c r="A608"/>
      <c r="B608"/>
      <c r="C608"/>
      <c r="D608"/>
      <c r="E608"/>
      <c r="F608"/>
      <c r="G608"/>
      <c r="H608"/>
      <c r="I608"/>
      <c r="J608"/>
      <c r="K608"/>
      <c r="L608"/>
      <c r="M608"/>
      <c r="N608"/>
      <c r="O608"/>
      <c r="P608"/>
      <c r="Q608"/>
      <c r="R608"/>
      <c r="S608"/>
    </row>
    <row r="609" spans="1:19">
      <c r="A609"/>
      <c r="B609"/>
      <c r="C609"/>
      <c r="D609"/>
      <c r="E609"/>
      <c r="F609"/>
      <c r="G609"/>
      <c r="H609"/>
      <c r="I609"/>
      <c r="J609"/>
      <c r="K609"/>
      <c r="L609"/>
      <c r="M609"/>
      <c r="N609"/>
      <c r="O609"/>
      <c r="P609"/>
      <c r="Q609"/>
      <c r="R609"/>
      <c r="S609"/>
    </row>
    <row r="610" spans="1:19">
      <c r="A610"/>
      <c r="B610"/>
      <c r="C610"/>
      <c r="D610"/>
      <c r="E610"/>
      <c r="F610"/>
      <c r="G610"/>
      <c r="H610"/>
      <c r="I610"/>
      <c r="J610"/>
      <c r="K610"/>
      <c r="L610"/>
      <c r="M610"/>
      <c r="N610"/>
      <c r="O610"/>
      <c r="P610"/>
      <c r="Q610"/>
      <c r="R610"/>
      <c r="S610"/>
    </row>
    <row r="611" spans="1:19">
      <c r="A611"/>
      <c r="B611"/>
      <c r="C611"/>
      <c r="D611"/>
      <c r="E611"/>
      <c r="F611"/>
      <c r="G611"/>
      <c r="H611"/>
      <c r="I611"/>
      <c r="J611"/>
      <c r="K611"/>
      <c r="L611"/>
      <c r="M611"/>
      <c r="N611"/>
      <c r="O611"/>
      <c r="P611"/>
      <c r="Q611"/>
      <c r="R611"/>
      <c r="S611"/>
    </row>
    <row r="612" spans="1:19">
      <c r="A612"/>
      <c r="B612"/>
      <c r="C612"/>
      <c r="D612"/>
      <c r="E612"/>
      <c r="F612"/>
      <c r="G612"/>
      <c r="H612"/>
      <c r="I612"/>
      <c r="J612"/>
      <c r="K612"/>
      <c r="L612"/>
      <c r="M612"/>
      <c r="N612"/>
      <c r="O612"/>
      <c r="P612"/>
      <c r="Q612"/>
      <c r="R612"/>
      <c r="S612"/>
    </row>
    <row r="613" spans="1:19">
      <c r="A613"/>
      <c r="B613"/>
      <c r="C613"/>
      <c r="D613"/>
      <c r="E613"/>
      <c r="F613"/>
      <c r="G613"/>
      <c r="H613"/>
      <c r="I613"/>
      <c r="J613"/>
      <c r="K613"/>
      <c r="L613"/>
      <c r="M613"/>
      <c r="N613"/>
      <c r="O613"/>
      <c r="P613"/>
      <c r="Q613"/>
      <c r="R613"/>
      <c r="S613"/>
    </row>
    <row r="614" spans="1:19">
      <c r="A614"/>
      <c r="B614"/>
      <c r="C614"/>
      <c r="D614"/>
      <c r="E614"/>
      <c r="F614"/>
      <c r="G614"/>
      <c r="H614"/>
      <c r="I614"/>
      <c r="J614"/>
      <c r="K614"/>
      <c r="L614"/>
      <c r="M614"/>
      <c r="N614"/>
      <c r="O614"/>
      <c r="P614"/>
      <c r="Q614"/>
      <c r="R614"/>
      <c r="S614"/>
    </row>
    <row r="615" spans="1:19">
      <c r="A615"/>
      <c r="B615"/>
      <c r="C615"/>
      <c r="D615"/>
      <c r="E615"/>
      <c r="F615"/>
      <c r="G615"/>
      <c r="H615"/>
      <c r="I615"/>
      <c r="J615"/>
      <c r="K615"/>
      <c r="L615"/>
      <c r="M615"/>
      <c r="N615"/>
      <c r="O615"/>
      <c r="P615"/>
      <c r="Q615"/>
      <c r="R615"/>
      <c r="S615"/>
    </row>
    <row r="616" spans="1:19">
      <c r="A616"/>
      <c r="B616"/>
      <c r="C616"/>
      <c r="D616"/>
      <c r="E616"/>
      <c r="F616"/>
      <c r="G616"/>
      <c r="H616"/>
      <c r="I616"/>
      <c r="J616"/>
      <c r="K616"/>
      <c r="L616"/>
      <c r="M616"/>
      <c r="N616"/>
      <c r="O616"/>
      <c r="P616"/>
      <c r="Q616"/>
      <c r="R616"/>
      <c r="S616"/>
    </row>
    <row r="617" spans="1:19">
      <c r="A617"/>
      <c r="B617"/>
      <c r="C617"/>
      <c r="D617"/>
      <c r="E617"/>
      <c r="F617"/>
      <c r="G617"/>
      <c r="H617"/>
      <c r="I617"/>
      <c r="J617"/>
      <c r="K617"/>
      <c r="L617"/>
      <c r="M617"/>
      <c r="N617"/>
      <c r="O617"/>
      <c r="P617"/>
      <c r="Q617"/>
      <c r="R617"/>
      <c r="S617"/>
    </row>
    <row r="618" spans="1:19">
      <c r="A618"/>
      <c r="B618"/>
      <c r="C618"/>
      <c r="D618"/>
      <c r="E618"/>
      <c r="F618"/>
      <c r="G618"/>
      <c r="H618"/>
      <c r="I618"/>
      <c r="J618"/>
      <c r="K618"/>
      <c r="L618"/>
      <c r="M618"/>
      <c r="N618"/>
      <c r="O618"/>
      <c r="P618"/>
      <c r="Q618"/>
      <c r="R618"/>
      <c r="S618"/>
    </row>
    <row r="619" spans="1:19">
      <c r="A619"/>
      <c r="B619"/>
      <c r="C619"/>
      <c r="D619"/>
      <c r="E619"/>
      <c r="F619"/>
      <c r="G619"/>
      <c r="H619"/>
      <c r="I619"/>
      <c r="J619"/>
      <c r="K619"/>
      <c r="L619"/>
      <c r="M619"/>
      <c r="N619"/>
      <c r="O619"/>
      <c r="P619"/>
      <c r="Q619"/>
      <c r="R619"/>
      <c r="S619"/>
    </row>
    <row r="620" spans="1:19">
      <c r="A620"/>
      <c r="B620"/>
      <c r="C620"/>
      <c r="D620"/>
      <c r="E620"/>
      <c r="F620"/>
      <c r="G620"/>
      <c r="H620"/>
      <c r="I620"/>
      <c r="J620"/>
      <c r="K620"/>
      <c r="L620"/>
      <c r="M620"/>
      <c r="N620"/>
      <c r="O620"/>
      <c r="P620"/>
      <c r="Q620"/>
      <c r="R620"/>
      <c r="S620"/>
    </row>
    <row r="621" spans="1:19">
      <c r="A621"/>
      <c r="B621"/>
      <c r="C621"/>
      <c r="D621"/>
      <c r="E621"/>
      <c r="F621"/>
      <c r="G621"/>
      <c r="H621"/>
      <c r="I621"/>
      <c r="J621"/>
      <c r="K621"/>
      <c r="L621"/>
      <c r="M621"/>
      <c r="N621"/>
      <c r="O621"/>
      <c r="P621"/>
      <c r="Q621"/>
      <c r="R621"/>
      <c r="S6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1">
    <tabColor theme="3" tint="-0.249977111117893"/>
  </sheetPr>
  <dimension ref="A1:AY680"/>
  <sheetViews>
    <sheetView showGridLines="0" zoomScale="90" zoomScaleNormal="90" workbookViewId="0">
      <pane xSplit="5" ySplit="6" topLeftCell="F7" activePane="bottomRight" state="frozen"/>
      <selection pane="topRight" activeCell="F1" sqref="F1"/>
      <selection pane="bottomLeft" activeCell="A7" sqref="A7"/>
      <selection pane="bottomRight" activeCell="AI672" sqref="AI672"/>
    </sheetView>
  </sheetViews>
  <sheetFormatPr defaultRowHeight="12.75"/>
  <cols>
    <col min="1" max="1" width="6.42578125" style="23" customWidth="1"/>
    <col min="2" max="2" width="36.5703125" style="24" customWidth="1"/>
    <col min="3" max="3" width="19" style="24" customWidth="1"/>
    <col min="4" max="4" width="10.140625" style="23" customWidth="1"/>
    <col min="5" max="5" width="6.7109375" style="23" customWidth="1"/>
    <col min="6" max="6" width="9.85546875" style="22" customWidth="1"/>
    <col min="7" max="7" width="9.85546875" style="25" customWidth="1"/>
    <col min="8" max="8" width="11.28515625" style="22" customWidth="1"/>
    <col min="9" max="9" width="11.28515625" style="25" customWidth="1"/>
    <col min="10" max="11" width="10.7109375" style="22" customWidth="1"/>
    <col min="12" max="12" width="10.5703125" style="22" customWidth="1"/>
    <col min="13" max="13" width="13.5703125" style="26" customWidth="1"/>
    <col min="14" max="14" width="10.5703125" style="26" customWidth="1"/>
    <col min="15" max="15" width="9.85546875" style="26" customWidth="1"/>
    <col min="16" max="16" width="11.5703125" style="22" customWidth="1"/>
    <col min="17" max="17" width="12.140625" style="25" customWidth="1"/>
    <col min="18" max="18" width="9.5703125" style="22" customWidth="1"/>
    <col min="19" max="19" width="9.5703125" style="25" customWidth="1"/>
    <col min="20" max="20" width="10.85546875" style="22" customWidth="1"/>
    <col min="21" max="21" width="10.85546875" style="25" customWidth="1"/>
    <col min="22" max="22" width="10.5703125" style="22" customWidth="1"/>
    <col min="23" max="23" width="10.5703125" style="25" customWidth="1"/>
    <col min="24" max="25" width="10.28515625" style="22" customWidth="1"/>
    <col min="26" max="26" width="8.7109375" style="22" customWidth="1"/>
    <col min="27" max="27" width="11.42578125" style="26" customWidth="1"/>
    <col min="28" max="28" width="12.42578125" style="26" customWidth="1"/>
    <col min="29" max="29" width="10.140625" style="26" customWidth="1"/>
    <col min="30" max="30" width="11.7109375" style="22" customWidth="1"/>
    <col min="31" max="31" width="12.28515625" style="25" customWidth="1"/>
    <col min="32" max="33" width="8.7109375" style="22" customWidth="1"/>
    <col min="34" max="16384" width="9.140625" style="22"/>
  </cols>
  <sheetData>
    <row r="1" spans="1:33" s="8" customFormat="1">
      <c r="A1" s="1" t="s">
        <v>0</v>
      </c>
      <c r="B1" s="2"/>
      <c r="C1" s="2"/>
      <c r="D1" s="3"/>
      <c r="E1" s="4"/>
      <c r="F1" s="363" t="s">
        <v>1</v>
      </c>
      <c r="G1" s="364"/>
      <c r="H1" s="364"/>
      <c r="I1" s="364"/>
      <c r="J1" s="364"/>
      <c r="K1" s="364"/>
      <c r="L1" s="364"/>
      <c r="M1" s="364"/>
      <c r="N1" s="365"/>
      <c r="O1" s="364"/>
      <c r="P1" s="364"/>
      <c r="Q1" s="364"/>
      <c r="R1" s="366"/>
      <c r="S1" s="364"/>
      <c r="T1" s="5" t="s">
        <v>2</v>
      </c>
      <c r="U1" s="6"/>
      <c r="V1" s="6"/>
      <c r="W1" s="6"/>
      <c r="X1" s="6"/>
      <c r="Y1" s="6"/>
      <c r="Z1" s="6"/>
      <c r="AA1" s="6"/>
      <c r="AB1" s="7"/>
      <c r="AC1" s="6"/>
      <c r="AD1" s="6"/>
      <c r="AE1" s="6"/>
      <c r="AG1" s="6"/>
    </row>
    <row r="2" spans="1:33" s="8" customFormat="1" ht="12.75" customHeight="1">
      <c r="A2" s="9"/>
      <c r="B2" s="10"/>
      <c r="C2" s="10"/>
      <c r="D2" s="10"/>
      <c r="E2" s="9"/>
      <c r="F2" s="11" t="s">
        <v>3</v>
      </c>
      <c r="G2" s="12"/>
      <c r="H2" s="358"/>
      <c r="I2" s="13"/>
      <c r="J2" s="358"/>
      <c r="K2" s="359"/>
      <c r="L2" s="357" t="s">
        <v>4</v>
      </c>
      <c r="M2" s="360"/>
      <c r="N2" s="361"/>
      <c r="O2" s="14"/>
      <c r="P2" s="15"/>
      <c r="Q2" s="15"/>
      <c r="R2" s="371"/>
      <c r="S2" s="359"/>
      <c r="T2" s="11" t="s">
        <v>3</v>
      </c>
      <c r="U2" s="12"/>
      <c r="V2" s="358"/>
      <c r="W2" s="359"/>
      <c r="X2" s="358"/>
      <c r="Y2" s="359"/>
      <c r="Z2" s="357" t="s">
        <v>4</v>
      </c>
      <c r="AA2" s="360"/>
      <c r="AB2" s="361"/>
      <c r="AC2" s="369"/>
      <c r="AD2" s="370"/>
      <c r="AE2" s="370"/>
      <c r="AF2" s="371"/>
      <c r="AG2" s="359"/>
    </row>
    <row r="3" spans="1:33" s="8" customFormat="1" ht="127.5">
      <c r="A3" s="16" t="s">
        <v>5</v>
      </c>
      <c r="B3" s="17" t="s">
        <v>6</v>
      </c>
      <c r="C3" s="17" t="s">
        <v>773</v>
      </c>
      <c r="D3" s="16" t="s">
        <v>7</v>
      </c>
      <c r="E3" s="18" t="s">
        <v>8</v>
      </c>
      <c r="F3" s="354" t="s">
        <v>718</v>
      </c>
      <c r="G3" s="355"/>
      <c r="H3" s="357" t="s">
        <v>719</v>
      </c>
      <c r="I3" s="356"/>
      <c r="J3" s="357" t="s">
        <v>720</v>
      </c>
      <c r="K3" s="356"/>
      <c r="L3" s="372" t="s">
        <v>9</v>
      </c>
      <c r="M3" s="372" t="s">
        <v>721</v>
      </c>
      <c r="N3" s="367" t="s">
        <v>722</v>
      </c>
      <c r="O3" s="362" t="s">
        <v>9</v>
      </c>
      <c r="P3" s="362" t="s">
        <v>721</v>
      </c>
      <c r="Q3" s="362" t="s">
        <v>723</v>
      </c>
      <c r="R3" s="368" t="s">
        <v>724</v>
      </c>
      <c r="S3" s="356"/>
      <c r="T3" s="354" t="s">
        <v>725</v>
      </c>
      <c r="U3" s="355"/>
      <c r="V3" s="357" t="s">
        <v>719</v>
      </c>
      <c r="W3" s="356"/>
      <c r="X3" s="357" t="s">
        <v>720</v>
      </c>
      <c r="Y3" s="356"/>
      <c r="Z3" s="372" t="s">
        <v>9</v>
      </c>
      <c r="AA3" s="372" t="s">
        <v>721</v>
      </c>
      <c r="AB3" s="367" t="s">
        <v>722</v>
      </c>
      <c r="AC3" s="362" t="s">
        <v>9</v>
      </c>
      <c r="AD3" s="362" t="s">
        <v>721</v>
      </c>
      <c r="AE3" s="362" t="s">
        <v>723</v>
      </c>
      <c r="AF3" s="368" t="s">
        <v>724</v>
      </c>
      <c r="AG3" s="356"/>
    </row>
    <row r="4" spans="1:33" s="353" customFormat="1" ht="18" customHeight="1" thickBot="1">
      <c r="A4" s="341" t="s">
        <v>5</v>
      </c>
      <c r="B4" s="342" t="s">
        <v>6</v>
      </c>
      <c r="C4" s="342"/>
      <c r="D4" s="343" t="s">
        <v>717</v>
      </c>
      <c r="E4" s="344" t="s">
        <v>8</v>
      </c>
      <c r="F4" s="345">
        <v>2009</v>
      </c>
      <c r="G4" s="346">
        <v>2010</v>
      </c>
      <c r="H4" s="347">
        <v>2009</v>
      </c>
      <c r="I4" s="348">
        <v>2010</v>
      </c>
      <c r="J4" s="347">
        <v>2009</v>
      </c>
      <c r="K4" s="349">
        <v>2010</v>
      </c>
      <c r="L4" s="350">
        <v>2009</v>
      </c>
      <c r="M4" s="347">
        <v>2009</v>
      </c>
      <c r="N4" s="347">
        <v>2009</v>
      </c>
      <c r="O4" s="348">
        <v>2010</v>
      </c>
      <c r="P4" s="348">
        <v>2010</v>
      </c>
      <c r="Q4" s="349">
        <v>2010</v>
      </c>
      <c r="R4" s="350">
        <v>2009</v>
      </c>
      <c r="S4" s="349">
        <v>2010</v>
      </c>
      <c r="T4" s="351">
        <v>2009</v>
      </c>
      <c r="U4" s="346">
        <v>2010</v>
      </c>
      <c r="V4" s="347">
        <v>2009</v>
      </c>
      <c r="W4" s="348">
        <v>2010</v>
      </c>
      <c r="X4" s="347">
        <v>2009</v>
      </c>
      <c r="Y4" s="349">
        <v>2010</v>
      </c>
      <c r="Z4" s="350">
        <v>2009</v>
      </c>
      <c r="AA4" s="347">
        <v>2009</v>
      </c>
      <c r="AB4" s="347">
        <v>2009</v>
      </c>
      <c r="AC4" s="348">
        <v>2010</v>
      </c>
      <c r="AD4" s="348">
        <v>2010</v>
      </c>
      <c r="AE4" s="352">
        <v>2010</v>
      </c>
      <c r="AF4" s="350">
        <v>2009</v>
      </c>
      <c r="AG4" s="348">
        <v>2010</v>
      </c>
    </row>
    <row r="5" spans="1:33" s="8" customFormat="1" ht="27.75" customHeight="1" thickTop="1">
      <c r="A5" s="19" t="s">
        <v>5</v>
      </c>
      <c r="B5" s="20" t="s">
        <v>6</v>
      </c>
      <c r="C5" s="20" t="s">
        <v>773</v>
      </c>
      <c r="D5" s="19" t="s">
        <v>10</v>
      </c>
      <c r="E5" s="19" t="s">
        <v>11</v>
      </c>
      <c r="F5" s="21" t="s">
        <v>12</v>
      </c>
      <c r="G5" s="21" t="s">
        <v>13</v>
      </c>
      <c r="H5" s="21" t="s">
        <v>14</v>
      </c>
      <c r="I5" s="21" t="s">
        <v>15</v>
      </c>
      <c r="J5" s="21" t="s">
        <v>16</v>
      </c>
      <c r="K5" s="21" t="s">
        <v>17</v>
      </c>
      <c r="L5" s="21" t="s">
        <v>18</v>
      </c>
      <c r="M5" s="21" t="s">
        <v>19</v>
      </c>
      <c r="N5" s="21" t="s">
        <v>20</v>
      </c>
      <c r="O5" s="21" t="s">
        <v>21</v>
      </c>
      <c r="P5" s="21" t="s">
        <v>22</v>
      </c>
      <c r="Q5" s="21" t="s">
        <v>23</v>
      </c>
      <c r="R5" s="21" t="s">
        <v>24</v>
      </c>
      <c r="S5" s="21" t="s">
        <v>25</v>
      </c>
      <c r="T5" s="21" t="s">
        <v>26</v>
      </c>
      <c r="U5" s="21" t="s">
        <v>27</v>
      </c>
      <c r="V5" s="21" t="s">
        <v>28</v>
      </c>
      <c r="W5" s="21" t="s">
        <v>29</v>
      </c>
      <c r="X5" s="21" t="s">
        <v>30</v>
      </c>
      <c r="Y5" s="21" t="s">
        <v>31</v>
      </c>
      <c r="Z5" s="21" t="s">
        <v>32</v>
      </c>
      <c r="AA5" s="21" t="s">
        <v>33</v>
      </c>
      <c r="AB5" s="21" t="s">
        <v>34</v>
      </c>
      <c r="AC5" s="21" t="s">
        <v>35</v>
      </c>
      <c r="AD5" s="21" t="s">
        <v>36</v>
      </c>
      <c r="AE5" s="21" t="s">
        <v>37</v>
      </c>
      <c r="AF5" s="21" t="s">
        <v>38</v>
      </c>
      <c r="AG5" s="21" t="s">
        <v>39</v>
      </c>
    </row>
    <row r="6" spans="1:33" s="8" customFormat="1">
      <c r="A6" s="373" t="s">
        <v>40</v>
      </c>
      <c r="B6" s="374" t="s">
        <v>41</v>
      </c>
      <c r="C6" s="374"/>
      <c r="D6" s="375">
        <v>100858</v>
      </c>
      <c r="E6" s="373">
        <v>1</v>
      </c>
      <c r="F6" s="376">
        <f t="shared" ref="F6" si="0">SUM(H6,J6,L6,M6,N6,R6)</f>
        <v>574277</v>
      </c>
      <c r="G6" s="377">
        <f>SUM(I6,K6,O6,P6,Q6,S6)</f>
        <v>585421</v>
      </c>
      <c r="H6" s="378">
        <v>569896</v>
      </c>
      <c r="I6" s="379">
        <v>580096</v>
      </c>
      <c r="J6" s="378">
        <v>116</v>
      </c>
      <c r="K6" s="380">
        <v>0</v>
      </c>
      <c r="L6" s="381">
        <v>2705</v>
      </c>
      <c r="M6" s="378"/>
      <c r="N6" s="378">
        <v>1560</v>
      </c>
      <c r="O6" s="379">
        <v>1917</v>
      </c>
      <c r="P6" s="379"/>
      <c r="Q6" s="380">
        <v>3408</v>
      </c>
      <c r="R6" s="382"/>
      <c r="S6" s="380"/>
      <c r="T6" s="383">
        <f t="shared" ref="T6" si="1">SUM(V6,X6,Z6,AA6,AB6,AF6)</f>
        <v>66819</v>
      </c>
      <c r="U6" s="384">
        <f t="shared" ref="U6" si="2">SUM(W6,Y6,AC6,AD6,AE6,AG6)</f>
        <v>92318</v>
      </c>
      <c r="V6" s="378">
        <v>56999</v>
      </c>
      <c r="W6" s="379">
        <v>79913</v>
      </c>
      <c r="X6" s="385">
        <v>170</v>
      </c>
      <c r="Y6" s="380">
        <v>1957</v>
      </c>
      <c r="Z6" s="382">
        <v>2666</v>
      </c>
      <c r="AA6" s="378"/>
      <c r="AB6" s="378">
        <v>6984</v>
      </c>
      <c r="AC6" s="379">
        <v>423</v>
      </c>
      <c r="AD6" s="379"/>
      <c r="AE6" s="386">
        <v>10025</v>
      </c>
      <c r="AF6" s="382"/>
      <c r="AG6" s="379"/>
    </row>
    <row r="7" spans="1:33">
      <c r="A7" s="373" t="s">
        <v>40</v>
      </c>
      <c r="B7" s="374" t="s">
        <v>42</v>
      </c>
      <c r="C7" s="374"/>
      <c r="D7" s="387">
        <v>100751</v>
      </c>
      <c r="E7" s="373">
        <v>1</v>
      </c>
      <c r="F7" s="376">
        <f t="shared" ref="F7:F70" si="3">SUM(H7,J7,L7,M7,N7,R7)</f>
        <v>672971</v>
      </c>
      <c r="G7" s="377">
        <f t="shared" ref="G7:G70" si="4">SUM(I7,K7,O7,P7,Q7,S7)</f>
        <v>701593</v>
      </c>
      <c r="H7" s="388">
        <v>632701</v>
      </c>
      <c r="I7" s="389">
        <v>661923</v>
      </c>
      <c r="J7" s="388">
        <v>720</v>
      </c>
      <c r="K7" s="389">
        <v>1606</v>
      </c>
      <c r="L7" s="381">
        <v>38860</v>
      </c>
      <c r="M7" s="388">
        <v>666</v>
      </c>
      <c r="N7" s="388"/>
      <c r="O7" s="389">
        <v>37563</v>
      </c>
      <c r="P7" s="389">
        <v>477</v>
      </c>
      <c r="Q7" s="390">
        <v>24</v>
      </c>
      <c r="R7" s="381">
        <v>24</v>
      </c>
      <c r="S7" s="390">
        <v>0</v>
      </c>
      <c r="T7" s="383">
        <f t="shared" ref="T7:T70" si="5">SUM(V7,X7,Z7,AA7,AB7,AF7)</f>
        <v>91700</v>
      </c>
      <c r="U7" s="384">
        <f t="shared" ref="U7:U70" si="6">SUM(W7,Y7,AC7,AD7,AE7,AG7)</f>
        <v>96154</v>
      </c>
      <c r="V7" s="388">
        <v>72378</v>
      </c>
      <c r="W7" s="389">
        <v>79946</v>
      </c>
      <c r="X7" s="391">
        <v>5333</v>
      </c>
      <c r="Y7" s="390">
        <v>4819</v>
      </c>
      <c r="Z7" s="381">
        <v>13317</v>
      </c>
      <c r="AA7" s="388">
        <v>669</v>
      </c>
      <c r="AB7" s="388"/>
      <c r="AC7" s="389">
        <v>11034</v>
      </c>
      <c r="AD7" s="389">
        <v>334</v>
      </c>
      <c r="AE7" s="392">
        <v>21</v>
      </c>
      <c r="AF7" s="381">
        <v>3</v>
      </c>
      <c r="AG7" s="389">
        <v>0</v>
      </c>
    </row>
    <row r="8" spans="1:33" ht="13.5">
      <c r="A8" s="373" t="s">
        <v>40</v>
      </c>
      <c r="B8" s="374" t="s">
        <v>43</v>
      </c>
      <c r="C8" s="497" t="s">
        <v>774</v>
      </c>
      <c r="D8" s="387">
        <v>100663</v>
      </c>
      <c r="E8" s="373">
        <v>1</v>
      </c>
      <c r="F8" s="376">
        <f t="shared" si="3"/>
        <v>253515</v>
      </c>
      <c r="G8" s="377">
        <f t="shared" si="4"/>
        <v>262748</v>
      </c>
      <c r="H8" s="388">
        <v>239256</v>
      </c>
      <c r="I8" s="389">
        <v>239632</v>
      </c>
      <c r="J8" s="388">
        <v>218</v>
      </c>
      <c r="K8" s="389">
        <v>535</v>
      </c>
      <c r="L8" s="381">
        <v>13990</v>
      </c>
      <c r="M8" s="388">
        <v>51</v>
      </c>
      <c r="N8" s="388"/>
      <c r="O8" s="389">
        <v>22479</v>
      </c>
      <c r="P8" s="389">
        <v>102</v>
      </c>
      <c r="Q8" s="390"/>
      <c r="R8" s="381"/>
      <c r="S8" s="390"/>
      <c r="T8" s="383">
        <f t="shared" si="5"/>
        <v>44582</v>
      </c>
      <c r="U8" s="384">
        <f t="shared" si="6"/>
        <v>46951</v>
      </c>
      <c r="V8" s="388">
        <v>41301</v>
      </c>
      <c r="W8" s="389">
        <v>42472</v>
      </c>
      <c r="X8" s="391">
        <v>377</v>
      </c>
      <c r="Y8" s="390">
        <v>604</v>
      </c>
      <c r="Z8" s="381">
        <v>2739</v>
      </c>
      <c r="AA8" s="388">
        <v>165</v>
      </c>
      <c r="AB8" s="388"/>
      <c r="AC8" s="389">
        <v>3638</v>
      </c>
      <c r="AD8" s="389">
        <v>237</v>
      </c>
      <c r="AE8" s="392"/>
      <c r="AF8" s="381"/>
      <c r="AG8" s="389"/>
    </row>
    <row r="9" spans="1:33" ht="13.5">
      <c r="A9" s="373" t="s">
        <v>40</v>
      </c>
      <c r="B9" s="374" t="s">
        <v>44</v>
      </c>
      <c r="C9" s="497" t="s">
        <v>775</v>
      </c>
      <c r="D9" s="373">
        <v>100706</v>
      </c>
      <c r="E9" s="373">
        <v>2</v>
      </c>
      <c r="F9" s="376">
        <f t="shared" si="3"/>
        <v>157888</v>
      </c>
      <c r="G9" s="377">
        <f t="shared" si="4"/>
        <v>161061</v>
      </c>
      <c r="H9" s="388">
        <v>156797</v>
      </c>
      <c r="I9" s="389">
        <v>159070</v>
      </c>
      <c r="J9" s="388"/>
      <c r="K9" s="389"/>
      <c r="L9" s="381">
        <v>1091</v>
      </c>
      <c r="M9" s="388"/>
      <c r="N9" s="388"/>
      <c r="O9" s="389">
        <v>1985</v>
      </c>
      <c r="P9" s="389">
        <v>6</v>
      </c>
      <c r="Q9" s="390"/>
      <c r="R9" s="381"/>
      <c r="S9" s="390"/>
      <c r="T9" s="383">
        <f t="shared" si="5"/>
        <v>21141</v>
      </c>
      <c r="U9" s="384">
        <f t="shared" si="6"/>
        <v>21952</v>
      </c>
      <c r="V9" s="388">
        <v>17831</v>
      </c>
      <c r="W9" s="389">
        <v>18372</v>
      </c>
      <c r="X9" s="391"/>
      <c r="Y9" s="390"/>
      <c r="Z9" s="381">
        <v>3295</v>
      </c>
      <c r="AA9" s="388"/>
      <c r="AB9" s="388">
        <v>15</v>
      </c>
      <c r="AC9" s="389">
        <v>3535</v>
      </c>
      <c r="AD9" s="389">
        <v>33</v>
      </c>
      <c r="AE9" s="392">
        <v>12</v>
      </c>
      <c r="AF9" s="381"/>
      <c r="AG9" s="389"/>
    </row>
    <row r="10" spans="1:33">
      <c r="A10" s="373" t="s">
        <v>40</v>
      </c>
      <c r="B10" s="374" t="s">
        <v>45</v>
      </c>
      <c r="C10" s="374"/>
      <c r="D10" s="373">
        <v>100654</v>
      </c>
      <c r="E10" s="373">
        <v>3</v>
      </c>
      <c r="F10" s="376">
        <f t="shared" si="3"/>
        <v>134580</v>
      </c>
      <c r="G10" s="377">
        <f t="shared" si="4"/>
        <v>134715</v>
      </c>
      <c r="H10" s="388">
        <v>134580</v>
      </c>
      <c r="I10" s="389">
        <v>134715</v>
      </c>
      <c r="J10" s="388"/>
      <c r="K10" s="389"/>
      <c r="L10" s="381"/>
      <c r="M10" s="388"/>
      <c r="N10" s="388"/>
      <c r="O10" s="389"/>
      <c r="P10" s="389"/>
      <c r="Q10" s="390"/>
      <c r="R10" s="381"/>
      <c r="S10" s="390"/>
      <c r="T10" s="383">
        <f t="shared" si="5"/>
        <v>15534</v>
      </c>
      <c r="U10" s="384">
        <f t="shared" si="6"/>
        <v>15386</v>
      </c>
      <c r="V10" s="393">
        <v>15534</v>
      </c>
      <c r="W10" s="389">
        <v>15386</v>
      </c>
      <c r="X10" s="391"/>
      <c r="Y10" s="390"/>
      <c r="Z10" s="381"/>
      <c r="AA10" s="388"/>
      <c r="AB10" s="388"/>
      <c r="AC10" s="389"/>
      <c r="AD10" s="389"/>
      <c r="AE10" s="392"/>
      <c r="AF10" s="381"/>
      <c r="AG10" s="389"/>
    </row>
    <row r="11" spans="1:33">
      <c r="A11" s="373" t="s">
        <v>40</v>
      </c>
      <c r="B11" s="374" t="s">
        <v>46</v>
      </c>
      <c r="C11" s="374"/>
      <c r="D11" s="373">
        <v>101480</v>
      </c>
      <c r="E11" s="373">
        <v>3</v>
      </c>
      <c r="F11" s="376">
        <f t="shared" si="3"/>
        <v>199573</v>
      </c>
      <c r="G11" s="377">
        <f t="shared" si="4"/>
        <v>206841</v>
      </c>
      <c r="H11" s="388">
        <v>161404</v>
      </c>
      <c r="I11" s="389">
        <v>162876</v>
      </c>
      <c r="J11" s="388">
        <v>4611</v>
      </c>
      <c r="K11" s="389">
        <v>5247</v>
      </c>
      <c r="L11" s="381">
        <v>32156</v>
      </c>
      <c r="M11" s="388">
        <v>1402</v>
      </c>
      <c r="N11" s="388"/>
      <c r="O11" s="389">
        <v>36116</v>
      </c>
      <c r="P11" s="389">
        <v>2602</v>
      </c>
      <c r="Q11" s="390">
        <v>0</v>
      </c>
      <c r="R11" s="381"/>
      <c r="S11" s="390"/>
      <c r="T11" s="383">
        <f t="shared" si="5"/>
        <v>25211</v>
      </c>
      <c r="U11" s="384">
        <f t="shared" si="6"/>
        <v>24856</v>
      </c>
      <c r="V11" s="388">
        <v>15763</v>
      </c>
      <c r="W11" s="389">
        <v>14225</v>
      </c>
      <c r="X11" s="391">
        <v>96</v>
      </c>
      <c r="Y11" s="390">
        <v>0</v>
      </c>
      <c r="Z11" s="381">
        <v>9352</v>
      </c>
      <c r="AA11" s="388"/>
      <c r="AB11" s="388"/>
      <c r="AC11" s="389">
        <v>10631</v>
      </c>
      <c r="AD11" s="389">
        <v>0</v>
      </c>
      <c r="AE11" s="392">
        <v>0</v>
      </c>
      <c r="AF11" s="381"/>
      <c r="AG11" s="389">
        <v>0</v>
      </c>
    </row>
    <row r="12" spans="1:33">
      <c r="A12" s="373" t="s">
        <v>40</v>
      </c>
      <c r="B12" s="374" t="s">
        <v>47</v>
      </c>
      <c r="C12" s="374"/>
      <c r="D12" s="373">
        <v>102368</v>
      </c>
      <c r="E12" s="373">
        <v>3</v>
      </c>
      <c r="F12" s="376">
        <f t="shared" si="3"/>
        <v>331279</v>
      </c>
      <c r="G12" s="377">
        <f t="shared" si="4"/>
        <v>347685</v>
      </c>
      <c r="H12" s="388">
        <v>238849</v>
      </c>
      <c r="I12" s="389">
        <v>244083</v>
      </c>
      <c r="J12" s="388">
        <v>4110</v>
      </c>
      <c r="K12" s="389">
        <v>4091</v>
      </c>
      <c r="L12" s="381">
        <v>84495</v>
      </c>
      <c r="M12" s="388">
        <v>168</v>
      </c>
      <c r="N12" s="388">
        <v>3615</v>
      </c>
      <c r="O12" s="389">
        <v>96506</v>
      </c>
      <c r="P12" s="389">
        <v>0</v>
      </c>
      <c r="Q12" s="390">
        <v>2999</v>
      </c>
      <c r="R12" s="381">
        <v>42</v>
      </c>
      <c r="S12" s="390">
        <v>6</v>
      </c>
      <c r="T12" s="383">
        <f t="shared" si="5"/>
        <v>46083</v>
      </c>
      <c r="U12" s="384">
        <f t="shared" si="6"/>
        <v>46658</v>
      </c>
      <c r="V12" s="388">
        <v>29945</v>
      </c>
      <c r="W12" s="389">
        <v>29257</v>
      </c>
      <c r="X12" s="391">
        <v>1702</v>
      </c>
      <c r="Y12" s="390">
        <v>1140</v>
      </c>
      <c r="Z12" s="381">
        <v>10854</v>
      </c>
      <c r="AA12" s="388">
        <v>239</v>
      </c>
      <c r="AB12" s="388">
        <v>3343</v>
      </c>
      <c r="AC12" s="389">
        <v>12989</v>
      </c>
      <c r="AD12" s="389">
        <v>416</v>
      </c>
      <c r="AE12" s="392">
        <v>2856</v>
      </c>
      <c r="AF12" s="381"/>
      <c r="AG12" s="389">
        <v>0</v>
      </c>
    </row>
    <row r="13" spans="1:33">
      <c r="A13" s="373" t="s">
        <v>40</v>
      </c>
      <c r="B13" s="374" t="s">
        <v>48</v>
      </c>
      <c r="C13" s="374"/>
      <c r="D13" s="373">
        <v>102094</v>
      </c>
      <c r="E13" s="373">
        <v>3</v>
      </c>
      <c r="F13" s="376">
        <f t="shared" si="3"/>
        <v>265603</v>
      </c>
      <c r="G13" s="377">
        <f t="shared" si="4"/>
        <v>272728</v>
      </c>
      <c r="H13" s="388">
        <v>254116</v>
      </c>
      <c r="I13" s="389">
        <v>252814</v>
      </c>
      <c r="J13" s="388">
        <v>414</v>
      </c>
      <c r="K13" s="389">
        <v>661</v>
      </c>
      <c r="L13" s="381">
        <v>11073</v>
      </c>
      <c r="M13" s="388"/>
      <c r="N13" s="388"/>
      <c r="O13" s="389">
        <v>19253</v>
      </c>
      <c r="P13" s="389"/>
      <c r="Q13" s="390"/>
      <c r="R13" s="381"/>
      <c r="S13" s="390"/>
      <c r="T13" s="383">
        <f t="shared" si="5"/>
        <v>18777</v>
      </c>
      <c r="U13" s="384">
        <f t="shared" si="6"/>
        <v>18705</v>
      </c>
      <c r="V13" s="388">
        <v>14431</v>
      </c>
      <c r="W13" s="389">
        <v>13849</v>
      </c>
      <c r="X13" s="391"/>
      <c r="Y13" s="390">
        <v>0</v>
      </c>
      <c r="Z13" s="381">
        <v>4346</v>
      </c>
      <c r="AA13" s="388"/>
      <c r="AB13" s="388"/>
      <c r="AC13" s="389">
        <v>4856</v>
      </c>
      <c r="AD13" s="389"/>
      <c r="AE13" s="392"/>
      <c r="AF13" s="381"/>
      <c r="AG13" s="389"/>
    </row>
    <row r="14" spans="1:33">
      <c r="A14" s="373" t="s">
        <v>40</v>
      </c>
      <c r="B14" s="374" t="s">
        <v>49</v>
      </c>
      <c r="C14" s="374"/>
      <c r="D14" s="373">
        <v>100724</v>
      </c>
      <c r="E14" s="373">
        <v>4</v>
      </c>
      <c r="F14" s="376">
        <f t="shared" si="3"/>
        <v>142331</v>
      </c>
      <c r="G14" s="377">
        <f t="shared" si="4"/>
        <v>156404</v>
      </c>
      <c r="H14" s="388">
        <v>141530</v>
      </c>
      <c r="I14" s="389">
        <v>156083</v>
      </c>
      <c r="J14" s="388"/>
      <c r="K14" s="390">
        <v>0</v>
      </c>
      <c r="L14" s="381">
        <v>801</v>
      </c>
      <c r="M14" s="388"/>
      <c r="N14" s="388"/>
      <c r="O14" s="389">
        <v>321</v>
      </c>
      <c r="P14" s="389"/>
      <c r="Q14" s="390"/>
      <c r="R14" s="381"/>
      <c r="S14" s="390"/>
      <c r="T14" s="383">
        <f t="shared" si="5"/>
        <v>16880</v>
      </c>
      <c r="U14" s="384">
        <f t="shared" si="6"/>
        <v>16986</v>
      </c>
      <c r="V14" s="388">
        <v>14046</v>
      </c>
      <c r="W14" s="389">
        <v>15888</v>
      </c>
      <c r="X14" s="391">
        <v>1106</v>
      </c>
      <c r="Y14" s="390">
        <v>369</v>
      </c>
      <c r="Z14" s="381">
        <v>1383</v>
      </c>
      <c r="AA14" s="388">
        <v>345</v>
      </c>
      <c r="AB14" s="388"/>
      <c r="AC14" s="389">
        <v>687</v>
      </c>
      <c r="AD14" s="389">
        <v>42</v>
      </c>
      <c r="AE14" s="392"/>
      <c r="AF14" s="381"/>
      <c r="AG14" s="389"/>
    </row>
    <row r="15" spans="1:33">
      <c r="A15" s="373" t="s">
        <v>40</v>
      </c>
      <c r="B15" s="374" t="s">
        <v>50</v>
      </c>
      <c r="C15" s="374"/>
      <c r="D15" s="373">
        <v>100830</v>
      </c>
      <c r="E15" s="373">
        <v>4</v>
      </c>
      <c r="F15" s="376">
        <f t="shared" si="3"/>
        <v>117469</v>
      </c>
      <c r="G15" s="377">
        <f t="shared" si="4"/>
        <v>122351</v>
      </c>
      <c r="H15" s="388">
        <v>109377</v>
      </c>
      <c r="I15" s="389">
        <v>105024</v>
      </c>
      <c r="J15" s="388">
        <v>2370</v>
      </c>
      <c r="K15" s="390">
        <v>2402</v>
      </c>
      <c r="L15" s="381">
        <v>5722</v>
      </c>
      <c r="M15" s="388"/>
      <c r="N15" s="388"/>
      <c r="O15" s="389">
        <v>14925</v>
      </c>
      <c r="P15" s="389"/>
      <c r="Q15" s="390"/>
      <c r="R15" s="381"/>
      <c r="S15" s="390"/>
      <c r="T15" s="383">
        <f t="shared" si="5"/>
        <v>13716.5</v>
      </c>
      <c r="U15" s="384">
        <f t="shared" si="6"/>
        <v>16088</v>
      </c>
      <c r="V15" s="388">
        <v>11827.5</v>
      </c>
      <c r="W15" s="389">
        <v>11239</v>
      </c>
      <c r="X15" s="391">
        <v>369</v>
      </c>
      <c r="Y15" s="390">
        <v>192</v>
      </c>
      <c r="Z15" s="381">
        <v>1520</v>
      </c>
      <c r="AA15" s="388"/>
      <c r="AB15" s="388"/>
      <c r="AC15" s="389">
        <v>4657</v>
      </c>
      <c r="AD15" s="389"/>
      <c r="AE15" s="392"/>
      <c r="AF15" s="381"/>
      <c r="AG15" s="389"/>
    </row>
    <row r="16" spans="1:33">
      <c r="A16" s="373" t="s">
        <v>40</v>
      </c>
      <c r="B16" s="374" t="s">
        <v>51</v>
      </c>
      <c r="C16" s="374"/>
      <c r="D16" s="373">
        <v>101879</v>
      </c>
      <c r="E16" s="373">
        <v>4</v>
      </c>
      <c r="F16" s="376">
        <f t="shared" si="3"/>
        <v>153235</v>
      </c>
      <c r="G16" s="377">
        <f t="shared" si="4"/>
        <v>162883</v>
      </c>
      <c r="H16" s="388">
        <v>132460</v>
      </c>
      <c r="I16" s="389">
        <v>137854</v>
      </c>
      <c r="J16" s="388"/>
      <c r="K16" s="390"/>
      <c r="L16" s="381">
        <v>20775</v>
      </c>
      <c r="M16" s="388"/>
      <c r="N16" s="388"/>
      <c r="O16" s="389">
        <v>25029</v>
      </c>
      <c r="P16" s="389"/>
      <c r="Q16" s="390"/>
      <c r="R16" s="381"/>
      <c r="S16" s="390"/>
      <c r="T16" s="383">
        <f t="shared" si="5"/>
        <v>16191</v>
      </c>
      <c r="U16" s="384">
        <f t="shared" si="6"/>
        <v>16055</v>
      </c>
      <c r="V16" s="388">
        <v>9101</v>
      </c>
      <c r="W16" s="389">
        <v>5288</v>
      </c>
      <c r="X16" s="391"/>
      <c r="Y16" s="390">
        <v>5198</v>
      </c>
      <c r="Z16" s="381">
        <v>7090</v>
      </c>
      <c r="AA16" s="388"/>
      <c r="AB16" s="388"/>
      <c r="AC16" s="389">
        <v>5569</v>
      </c>
      <c r="AD16" s="389"/>
      <c r="AE16" s="392"/>
      <c r="AF16" s="381"/>
      <c r="AG16" s="389"/>
    </row>
    <row r="17" spans="1:33">
      <c r="A17" s="373" t="s">
        <v>40</v>
      </c>
      <c r="B17" s="374" t="s">
        <v>52</v>
      </c>
      <c r="C17" s="374"/>
      <c r="D17" s="373">
        <v>101709</v>
      </c>
      <c r="E17" s="373">
        <v>5</v>
      </c>
      <c r="F17" s="376">
        <f t="shared" si="3"/>
        <v>73452</v>
      </c>
      <c r="G17" s="377">
        <f t="shared" si="4"/>
        <v>72994</v>
      </c>
      <c r="H17" s="388">
        <v>73452</v>
      </c>
      <c r="I17" s="389">
        <v>72049</v>
      </c>
      <c r="J17" s="388">
        <v>0</v>
      </c>
      <c r="K17" s="390">
        <v>219</v>
      </c>
      <c r="L17" s="381">
        <v>0</v>
      </c>
      <c r="M17" s="388">
        <v>0</v>
      </c>
      <c r="N17" s="388">
        <v>0</v>
      </c>
      <c r="O17" s="389">
        <v>726</v>
      </c>
      <c r="P17" s="389"/>
      <c r="Q17" s="390"/>
      <c r="R17" s="381">
        <v>0</v>
      </c>
      <c r="S17" s="390"/>
      <c r="T17" s="383">
        <f t="shared" si="5"/>
        <v>8675</v>
      </c>
      <c r="U17" s="384">
        <f t="shared" si="6"/>
        <v>9559</v>
      </c>
      <c r="V17" s="388">
        <v>8546</v>
      </c>
      <c r="W17" s="389">
        <v>8706</v>
      </c>
      <c r="X17" s="391">
        <v>129</v>
      </c>
      <c r="Y17" s="390">
        <v>462</v>
      </c>
      <c r="Z17" s="381">
        <v>0</v>
      </c>
      <c r="AA17" s="388"/>
      <c r="AB17" s="388"/>
      <c r="AC17" s="389">
        <v>391</v>
      </c>
      <c r="AD17" s="389"/>
      <c r="AE17" s="392"/>
      <c r="AF17" s="381"/>
      <c r="AG17" s="389"/>
    </row>
    <row r="18" spans="1:33">
      <c r="A18" s="373" t="s">
        <v>40</v>
      </c>
      <c r="B18" s="374" t="s">
        <v>53</v>
      </c>
      <c r="C18" s="374"/>
      <c r="D18" s="373">
        <v>101587</v>
      </c>
      <c r="E18" s="373">
        <v>5</v>
      </c>
      <c r="F18" s="376">
        <f t="shared" si="3"/>
        <v>52099</v>
      </c>
      <c r="G18" s="377">
        <f t="shared" si="4"/>
        <v>50352</v>
      </c>
      <c r="H18" s="388">
        <v>48536</v>
      </c>
      <c r="I18" s="389">
        <v>46176</v>
      </c>
      <c r="J18" s="388">
        <v>142</v>
      </c>
      <c r="K18" s="390">
        <v>1108</v>
      </c>
      <c r="L18" s="381">
        <v>3421</v>
      </c>
      <c r="M18" s="388"/>
      <c r="N18" s="388"/>
      <c r="O18" s="389">
        <v>3068</v>
      </c>
      <c r="P18" s="389"/>
      <c r="Q18" s="390"/>
      <c r="R18" s="381"/>
      <c r="S18" s="390"/>
      <c r="T18" s="383">
        <f t="shared" si="5"/>
        <v>86325</v>
      </c>
      <c r="U18" s="384">
        <f t="shared" si="6"/>
        <v>48336</v>
      </c>
      <c r="V18" s="388">
        <v>42076</v>
      </c>
      <c r="W18" s="389">
        <v>5619</v>
      </c>
      <c r="X18" s="391">
        <v>93</v>
      </c>
      <c r="Y18" s="390">
        <v>186</v>
      </c>
      <c r="Z18" s="381">
        <v>44156</v>
      </c>
      <c r="AA18" s="388"/>
      <c r="AB18" s="388"/>
      <c r="AC18" s="389">
        <v>42531</v>
      </c>
      <c r="AD18" s="389"/>
      <c r="AE18" s="392"/>
      <c r="AF18" s="381"/>
      <c r="AG18" s="389"/>
    </row>
    <row r="19" spans="1:33">
      <c r="A19" s="373" t="s">
        <v>40</v>
      </c>
      <c r="B19" s="374" t="s">
        <v>54</v>
      </c>
      <c r="C19" s="374"/>
      <c r="D19" s="373">
        <v>100812</v>
      </c>
      <c r="E19" s="373">
        <v>6</v>
      </c>
      <c r="F19" s="376">
        <f t="shared" si="3"/>
        <v>83699</v>
      </c>
      <c r="G19" s="377">
        <f t="shared" si="4"/>
        <v>89190</v>
      </c>
      <c r="H19" s="388">
        <v>21333</v>
      </c>
      <c r="I19" s="389">
        <v>22004</v>
      </c>
      <c r="J19" s="388">
        <v>3807</v>
      </c>
      <c r="K19" s="390">
        <v>4023</v>
      </c>
      <c r="L19" s="381">
        <v>58559</v>
      </c>
      <c r="M19" s="388"/>
      <c r="N19" s="388"/>
      <c r="O19" s="389">
        <v>63163</v>
      </c>
      <c r="P19" s="389"/>
      <c r="Q19" s="390"/>
      <c r="R19" s="381"/>
      <c r="S19" s="390"/>
      <c r="T19" s="383">
        <f t="shared" si="5"/>
        <v>0</v>
      </c>
      <c r="U19" s="384">
        <f t="shared" si="6"/>
        <v>0</v>
      </c>
      <c r="V19" s="388"/>
      <c r="W19" s="389"/>
      <c r="X19" s="391"/>
      <c r="Y19" s="390"/>
      <c r="Z19" s="381"/>
      <c r="AA19" s="388"/>
      <c r="AB19" s="388"/>
      <c r="AC19" s="389"/>
      <c r="AD19" s="389"/>
      <c r="AE19" s="392"/>
      <c r="AF19" s="381"/>
      <c r="AG19" s="389"/>
    </row>
    <row r="20" spans="1:33">
      <c r="A20" s="373" t="s">
        <v>40</v>
      </c>
      <c r="B20" s="374" t="s">
        <v>55</v>
      </c>
      <c r="C20" s="374"/>
      <c r="D20" s="373">
        <v>101505</v>
      </c>
      <c r="E20" s="373">
        <v>8</v>
      </c>
      <c r="F20" s="376">
        <f t="shared" si="3"/>
        <v>179083</v>
      </c>
      <c r="G20" s="377">
        <f t="shared" si="4"/>
        <v>200118</v>
      </c>
      <c r="H20" s="388">
        <v>125716</v>
      </c>
      <c r="I20" s="389">
        <v>138726</v>
      </c>
      <c r="J20" s="388">
        <v>20057</v>
      </c>
      <c r="K20" s="390">
        <v>22704</v>
      </c>
      <c r="L20" s="381">
        <v>31786</v>
      </c>
      <c r="M20" s="388">
        <v>1524</v>
      </c>
      <c r="N20" s="388"/>
      <c r="O20" s="389">
        <v>36946</v>
      </c>
      <c r="P20" s="389">
        <v>1742</v>
      </c>
      <c r="Q20" s="390">
        <v>0</v>
      </c>
      <c r="R20" s="381"/>
      <c r="S20" s="390"/>
      <c r="T20" s="383">
        <f t="shared" si="5"/>
        <v>0</v>
      </c>
      <c r="U20" s="384">
        <f t="shared" si="6"/>
        <v>0</v>
      </c>
      <c r="V20" s="388"/>
      <c r="W20" s="389"/>
      <c r="X20" s="391"/>
      <c r="Y20" s="390"/>
      <c r="Z20" s="381"/>
      <c r="AA20" s="388"/>
      <c r="AB20" s="388"/>
      <c r="AC20" s="389"/>
      <c r="AD20" s="389"/>
      <c r="AE20" s="392"/>
      <c r="AF20" s="381"/>
      <c r="AG20" s="389"/>
    </row>
    <row r="21" spans="1:33">
      <c r="A21" s="373" t="s">
        <v>40</v>
      </c>
      <c r="B21" s="374" t="s">
        <v>56</v>
      </c>
      <c r="C21" s="374"/>
      <c r="D21" s="373">
        <v>101514</v>
      </c>
      <c r="E21" s="373">
        <v>8</v>
      </c>
      <c r="F21" s="376">
        <f t="shared" si="3"/>
        <v>220847</v>
      </c>
      <c r="G21" s="377">
        <f t="shared" si="4"/>
        <v>260777</v>
      </c>
      <c r="H21" s="388">
        <v>192788</v>
      </c>
      <c r="I21" s="389">
        <v>204487</v>
      </c>
      <c r="J21" s="388">
        <v>4723</v>
      </c>
      <c r="K21" s="390">
        <v>5767</v>
      </c>
      <c r="L21" s="381">
        <v>22979</v>
      </c>
      <c r="M21" s="388"/>
      <c r="N21" s="388">
        <v>357</v>
      </c>
      <c r="O21" s="389">
        <v>26187</v>
      </c>
      <c r="P21" s="389">
        <v>0</v>
      </c>
      <c r="Q21" s="390">
        <v>24336</v>
      </c>
      <c r="R21" s="381">
        <v>0</v>
      </c>
      <c r="S21" s="390"/>
      <c r="T21" s="383">
        <f t="shared" si="5"/>
        <v>0</v>
      </c>
      <c r="U21" s="384">
        <f t="shared" si="6"/>
        <v>0</v>
      </c>
      <c r="V21" s="388"/>
      <c r="W21" s="389"/>
      <c r="X21" s="391"/>
      <c r="Y21" s="390"/>
      <c r="Z21" s="381"/>
      <c r="AA21" s="388"/>
      <c r="AB21" s="388"/>
      <c r="AC21" s="389"/>
      <c r="AD21" s="389"/>
      <c r="AE21" s="392"/>
      <c r="AF21" s="381"/>
      <c r="AG21" s="389"/>
    </row>
    <row r="22" spans="1:33">
      <c r="A22" s="373" t="s">
        <v>40</v>
      </c>
      <c r="B22" s="374" t="s">
        <v>57</v>
      </c>
      <c r="C22" s="374"/>
      <c r="D22" s="373">
        <v>102429</v>
      </c>
      <c r="E22" s="373">
        <v>9</v>
      </c>
      <c r="F22" s="376">
        <f t="shared" si="3"/>
        <v>109772</v>
      </c>
      <c r="G22" s="377">
        <f t="shared" si="4"/>
        <v>121792</v>
      </c>
      <c r="H22" s="388">
        <v>95577</v>
      </c>
      <c r="I22" s="389">
        <v>34513</v>
      </c>
      <c r="J22" s="388">
        <v>0</v>
      </c>
      <c r="K22" s="390">
        <v>68105</v>
      </c>
      <c r="L22" s="381">
        <v>9649</v>
      </c>
      <c r="M22" s="388">
        <v>4375</v>
      </c>
      <c r="N22" s="388">
        <v>0</v>
      </c>
      <c r="O22" s="389">
        <v>13954</v>
      </c>
      <c r="P22" s="389">
        <v>5220</v>
      </c>
      <c r="Q22" s="390">
        <v>0</v>
      </c>
      <c r="R22" s="381">
        <v>171</v>
      </c>
      <c r="S22" s="390"/>
      <c r="T22" s="383">
        <f t="shared" si="5"/>
        <v>0</v>
      </c>
      <c r="U22" s="384">
        <f t="shared" si="6"/>
        <v>0</v>
      </c>
      <c r="V22" s="388"/>
      <c r="W22" s="389"/>
      <c r="X22" s="391"/>
      <c r="Y22" s="390"/>
      <c r="Z22" s="381"/>
      <c r="AA22" s="388"/>
      <c r="AB22" s="388"/>
      <c r="AC22" s="389"/>
      <c r="AD22" s="389"/>
      <c r="AE22" s="392"/>
      <c r="AF22" s="381"/>
      <c r="AG22" s="389"/>
    </row>
    <row r="23" spans="1:33">
      <c r="A23" s="373" t="s">
        <v>40</v>
      </c>
      <c r="B23" s="374" t="s">
        <v>58</v>
      </c>
      <c r="C23" s="374"/>
      <c r="D23" s="373">
        <v>102030</v>
      </c>
      <c r="E23" s="373">
        <v>9</v>
      </c>
      <c r="F23" s="376">
        <f t="shared" si="3"/>
        <v>76234</v>
      </c>
      <c r="G23" s="377">
        <f t="shared" si="4"/>
        <v>86410</v>
      </c>
      <c r="H23" s="388">
        <v>64302</v>
      </c>
      <c r="I23" s="389">
        <v>77376</v>
      </c>
      <c r="J23" s="388">
        <v>5276</v>
      </c>
      <c r="K23" s="390">
        <v>1819</v>
      </c>
      <c r="L23" s="381">
        <v>6656</v>
      </c>
      <c r="M23" s="388">
        <v>0</v>
      </c>
      <c r="N23" s="388" t="s">
        <v>59</v>
      </c>
      <c r="O23" s="389">
        <v>6411</v>
      </c>
      <c r="P23" s="389">
        <v>0</v>
      </c>
      <c r="Q23" s="390">
        <v>804</v>
      </c>
      <c r="R23" s="381">
        <v>0</v>
      </c>
      <c r="S23" s="390"/>
      <c r="T23" s="383">
        <f t="shared" si="5"/>
        <v>0</v>
      </c>
      <c r="U23" s="384">
        <f t="shared" si="6"/>
        <v>0</v>
      </c>
      <c r="V23" s="388"/>
      <c r="W23" s="389"/>
      <c r="X23" s="391"/>
      <c r="Y23" s="390"/>
      <c r="Z23" s="381"/>
      <c r="AA23" s="388"/>
      <c r="AB23" s="388"/>
      <c r="AC23" s="389"/>
      <c r="AD23" s="389"/>
      <c r="AE23" s="392"/>
      <c r="AF23" s="381"/>
      <c r="AG23" s="389"/>
    </row>
    <row r="24" spans="1:33">
      <c r="A24" s="373" t="s">
        <v>40</v>
      </c>
      <c r="B24" s="374" t="s">
        <v>60</v>
      </c>
      <c r="C24" s="498" t="s">
        <v>776</v>
      </c>
      <c r="D24" s="373">
        <v>101240</v>
      </c>
      <c r="E24" s="373">
        <v>9</v>
      </c>
      <c r="F24" s="376">
        <f t="shared" si="3"/>
        <v>168603</v>
      </c>
      <c r="G24" s="377">
        <f t="shared" si="4"/>
        <v>182660</v>
      </c>
      <c r="H24" s="388">
        <v>145036</v>
      </c>
      <c r="I24" s="389">
        <v>755</v>
      </c>
      <c r="J24" s="388">
        <v>0</v>
      </c>
      <c r="K24" s="390">
        <v>145519</v>
      </c>
      <c r="L24" s="381">
        <v>21840</v>
      </c>
      <c r="M24" s="388">
        <v>293</v>
      </c>
      <c r="N24" s="388">
        <v>1434</v>
      </c>
      <c r="O24" s="389">
        <v>36200</v>
      </c>
      <c r="P24" s="389">
        <v>120</v>
      </c>
      <c r="Q24" s="390">
        <v>66</v>
      </c>
      <c r="R24" s="381"/>
      <c r="S24" s="390"/>
      <c r="T24" s="383">
        <f t="shared" si="5"/>
        <v>0</v>
      </c>
      <c r="U24" s="384">
        <f t="shared" si="6"/>
        <v>0</v>
      </c>
      <c r="V24" s="388"/>
      <c r="W24" s="389"/>
      <c r="X24" s="391"/>
      <c r="Y24" s="390"/>
      <c r="Z24" s="381"/>
      <c r="AA24" s="388"/>
      <c r="AB24" s="388"/>
      <c r="AC24" s="389"/>
      <c r="AD24" s="389"/>
      <c r="AE24" s="392"/>
      <c r="AF24" s="381"/>
      <c r="AG24" s="389"/>
    </row>
    <row r="25" spans="1:33">
      <c r="A25" s="373" t="s">
        <v>40</v>
      </c>
      <c r="B25" s="374" t="s">
        <v>61</v>
      </c>
      <c r="C25" s="374"/>
      <c r="D25" s="373">
        <v>101286</v>
      </c>
      <c r="E25" s="373">
        <v>9</v>
      </c>
      <c r="F25" s="376">
        <f t="shared" si="3"/>
        <v>113680</v>
      </c>
      <c r="G25" s="377">
        <f t="shared" si="4"/>
        <v>126601</v>
      </c>
      <c r="H25" s="388">
        <v>100794</v>
      </c>
      <c r="I25" s="389">
        <v>86556</v>
      </c>
      <c r="J25" s="388"/>
      <c r="K25" s="390">
        <v>19383</v>
      </c>
      <c r="L25" s="381">
        <v>12886</v>
      </c>
      <c r="M25" s="388"/>
      <c r="N25" s="388"/>
      <c r="O25" s="389">
        <v>20662</v>
      </c>
      <c r="P25" s="389">
        <v>0</v>
      </c>
      <c r="Q25" s="390">
        <v>0</v>
      </c>
      <c r="R25" s="381"/>
      <c r="S25" s="390"/>
      <c r="T25" s="383">
        <f t="shared" si="5"/>
        <v>0</v>
      </c>
      <c r="U25" s="384">
        <f t="shared" si="6"/>
        <v>0</v>
      </c>
      <c r="V25" s="388"/>
      <c r="W25" s="389"/>
      <c r="X25" s="391"/>
      <c r="Y25" s="390"/>
      <c r="Z25" s="381"/>
      <c r="AA25" s="388"/>
      <c r="AB25" s="388"/>
      <c r="AC25" s="389"/>
      <c r="AD25" s="389"/>
      <c r="AE25" s="392"/>
      <c r="AF25" s="381"/>
      <c r="AG25" s="389"/>
    </row>
    <row r="26" spans="1:33">
      <c r="A26" s="373" t="s">
        <v>40</v>
      </c>
      <c r="B26" s="374" t="s">
        <v>62</v>
      </c>
      <c r="C26" s="374"/>
      <c r="D26" s="373">
        <v>101161</v>
      </c>
      <c r="E26" s="373">
        <v>9</v>
      </c>
      <c r="F26" s="376">
        <f t="shared" si="3"/>
        <v>104705</v>
      </c>
      <c r="G26" s="377">
        <f t="shared" si="4"/>
        <v>118631</v>
      </c>
      <c r="H26" s="388">
        <v>87175</v>
      </c>
      <c r="I26" s="389">
        <v>53429</v>
      </c>
      <c r="J26" s="388"/>
      <c r="K26" s="390">
        <v>36131</v>
      </c>
      <c r="L26" s="381">
        <v>17530</v>
      </c>
      <c r="M26" s="388">
        <v>0</v>
      </c>
      <c r="N26" s="388">
        <v>0</v>
      </c>
      <c r="O26" s="389">
        <v>20440</v>
      </c>
      <c r="P26" s="389">
        <v>0</v>
      </c>
      <c r="Q26" s="390">
        <v>8631</v>
      </c>
      <c r="R26" s="381">
        <v>0</v>
      </c>
      <c r="S26" s="390"/>
      <c r="T26" s="383">
        <f t="shared" si="5"/>
        <v>0</v>
      </c>
      <c r="U26" s="384">
        <f t="shared" si="6"/>
        <v>0</v>
      </c>
      <c r="V26" s="388"/>
      <c r="W26" s="389"/>
      <c r="X26" s="391"/>
      <c r="Y26" s="390"/>
      <c r="Z26" s="381"/>
      <c r="AA26" s="388"/>
      <c r="AB26" s="388"/>
      <c r="AC26" s="389"/>
      <c r="AD26" s="389"/>
      <c r="AE26" s="392"/>
      <c r="AF26" s="381"/>
      <c r="AG26" s="389"/>
    </row>
    <row r="27" spans="1:33">
      <c r="A27" s="373" t="s">
        <v>40</v>
      </c>
      <c r="B27" s="374" t="s">
        <v>63</v>
      </c>
      <c r="C27" s="374"/>
      <c r="D27" s="373">
        <v>101569</v>
      </c>
      <c r="E27" s="373">
        <v>9</v>
      </c>
      <c r="F27" s="376">
        <f t="shared" si="3"/>
        <v>98638</v>
      </c>
      <c r="G27" s="377">
        <f t="shared" si="4"/>
        <v>116634</v>
      </c>
      <c r="H27" s="388">
        <v>87788</v>
      </c>
      <c r="I27" s="389">
        <v>101908</v>
      </c>
      <c r="J27" s="388">
        <v>0</v>
      </c>
      <c r="K27" s="390">
        <v>2948</v>
      </c>
      <c r="L27" s="381">
        <v>10850</v>
      </c>
      <c r="M27" s="388">
        <v>0</v>
      </c>
      <c r="N27" s="388">
        <v>0</v>
      </c>
      <c r="O27" s="389">
        <v>11762</v>
      </c>
      <c r="P27" s="389">
        <v>0</v>
      </c>
      <c r="Q27" s="390">
        <v>16</v>
      </c>
      <c r="R27" s="381">
        <v>0</v>
      </c>
      <c r="S27" s="390"/>
      <c r="T27" s="383">
        <f t="shared" si="5"/>
        <v>0</v>
      </c>
      <c r="U27" s="384">
        <f t="shared" si="6"/>
        <v>0</v>
      </c>
      <c r="V27" s="388"/>
      <c r="W27" s="389"/>
      <c r="X27" s="391"/>
      <c r="Y27" s="390"/>
      <c r="Z27" s="381"/>
      <c r="AA27" s="388"/>
      <c r="AB27" s="388"/>
      <c r="AC27" s="389"/>
      <c r="AD27" s="389"/>
      <c r="AE27" s="392"/>
      <c r="AF27" s="381"/>
      <c r="AG27" s="389"/>
    </row>
    <row r="28" spans="1:33">
      <c r="A28" s="373" t="s">
        <v>40</v>
      </c>
      <c r="B28" s="374" t="s">
        <v>64</v>
      </c>
      <c r="C28" s="374"/>
      <c r="D28" s="373">
        <v>101736</v>
      </c>
      <c r="E28" s="373">
        <v>9</v>
      </c>
      <c r="F28" s="376">
        <f t="shared" si="3"/>
        <v>97073</v>
      </c>
      <c r="G28" s="377">
        <f t="shared" si="4"/>
        <v>105919</v>
      </c>
      <c r="H28" s="388">
        <v>80479</v>
      </c>
      <c r="I28" s="389">
        <v>72232</v>
      </c>
      <c r="J28" s="388">
        <v>6074</v>
      </c>
      <c r="K28" s="390">
        <v>22230</v>
      </c>
      <c r="L28" s="381">
        <v>9265</v>
      </c>
      <c r="M28" s="388">
        <v>1255</v>
      </c>
      <c r="N28" s="388"/>
      <c r="O28" s="389">
        <v>7467</v>
      </c>
      <c r="P28" s="389">
        <v>765</v>
      </c>
      <c r="Q28" s="390">
        <v>3225</v>
      </c>
      <c r="R28" s="381"/>
      <c r="S28" s="390"/>
      <c r="T28" s="383">
        <f t="shared" si="5"/>
        <v>0</v>
      </c>
      <c r="U28" s="384">
        <f t="shared" si="6"/>
        <v>0</v>
      </c>
      <c r="V28" s="388"/>
      <c r="W28" s="389"/>
      <c r="X28" s="391"/>
      <c r="Y28" s="390"/>
      <c r="Z28" s="381"/>
      <c r="AA28" s="388"/>
      <c r="AB28" s="388"/>
      <c r="AC28" s="389"/>
      <c r="AD28" s="389"/>
      <c r="AE28" s="392"/>
      <c r="AF28" s="381"/>
      <c r="AG28" s="389"/>
    </row>
    <row r="29" spans="1:33">
      <c r="A29" s="373" t="s">
        <v>40</v>
      </c>
      <c r="B29" s="374" t="s">
        <v>65</v>
      </c>
      <c r="C29" s="498" t="s">
        <v>778</v>
      </c>
      <c r="D29" s="373">
        <v>102067</v>
      </c>
      <c r="E29" s="373">
        <v>9</v>
      </c>
      <c r="F29" s="376">
        <f t="shared" si="3"/>
        <v>143313</v>
      </c>
      <c r="G29" s="377">
        <f t="shared" si="4"/>
        <v>155348</v>
      </c>
      <c r="H29" s="388">
        <v>137952</v>
      </c>
      <c r="I29" s="389">
        <v>150719</v>
      </c>
      <c r="J29" s="388"/>
      <c r="K29" s="390">
        <v>170</v>
      </c>
      <c r="L29" s="381">
        <v>5361</v>
      </c>
      <c r="M29" s="388"/>
      <c r="N29" s="388"/>
      <c r="O29" s="389">
        <v>4459</v>
      </c>
      <c r="P29" s="389">
        <v>0</v>
      </c>
      <c r="Q29" s="390">
        <v>0</v>
      </c>
      <c r="R29" s="381"/>
      <c r="S29" s="390"/>
      <c r="T29" s="383">
        <f t="shared" si="5"/>
        <v>0</v>
      </c>
      <c r="U29" s="384">
        <f t="shared" si="6"/>
        <v>0</v>
      </c>
      <c r="V29" s="388"/>
      <c r="W29" s="389"/>
      <c r="X29" s="391"/>
      <c r="Y29" s="390"/>
      <c r="Z29" s="381"/>
      <c r="AA29" s="388"/>
      <c r="AB29" s="388"/>
      <c r="AC29" s="389"/>
      <c r="AD29" s="389"/>
      <c r="AE29" s="392"/>
      <c r="AF29" s="381"/>
      <c r="AG29" s="389"/>
    </row>
    <row r="30" spans="1:33">
      <c r="A30" s="373" t="s">
        <v>40</v>
      </c>
      <c r="B30" s="374" t="s">
        <v>66</v>
      </c>
      <c r="C30" s="374"/>
      <c r="D30" s="373">
        <v>251260</v>
      </c>
      <c r="E30" s="373">
        <v>9</v>
      </c>
      <c r="F30" s="376">
        <f t="shared" si="3"/>
        <v>134492</v>
      </c>
      <c r="G30" s="377">
        <f t="shared" si="4"/>
        <v>133498</v>
      </c>
      <c r="H30" s="388">
        <v>110679</v>
      </c>
      <c r="I30" s="389">
        <v>15692</v>
      </c>
      <c r="J30" s="388">
        <v>0</v>
      </c>
      <c r="K30" s="390">
        <v>97219</v>
      </c>
      <c r="L30" s="381">
        <v>12388</v>
      </c>
      <c r="M30" s="388">
        <v>1278</v>
      </c>
      <c r="N30" s="388">
        <v>6933</v>
      </c>
      <c r="O30" s="389">
        <v>20449</v>
      </c>
      <c r="P30" s="389">
        <v>138</v>
      </c>
      <c r="Q30" s="390">
        <v>0</v>
      </c>
      <c r="R30" s="381">
        <v>3214</v>
      </c>
      <c r="S30" s="390"/>
      <c r="T30" s="383">
        <f t="shared" si="5"/>
        <v>0</v>
      </c>
      <c r="U30" s="384">
        <f t="shared" si="6"/>
        <v>0</v>
      </c>
      <c r="V30" s="388"/>
      <c r="W30" s="389"/>
      <c r="X30" s="391"/>
      <c r="Y30" s="390"/>
      <c r="Z30" s="381"/>
      <c r="AA30" s="388"/>
      <c r="AB30" s="388"/>
      <c r="AC30" s="389"/>
      <c r="AD30" s="389"/>
      <c r="AE30" s="392"/>
      <c r="AF30" s="381"/>
      <c r="AG30" s="389"/>
    </row>
    <row r="31" spans="1:33">
      <c r="A31" s="373" t="s">
        <v>40</v>
      </c>
      <c r="B31" s="374" t="s">
        <v>67</v>
      </c>
      <c r="C31" s="498" t="s">
        <v>776</v>
      </c>
      <c r="D31" s="373">
        <v>101295</v>
      </c>
      <c r="E31" s="373">
        <v>9</v>
      </c>
      <c r="F31" s="376">
        <f t="shared" si="3"/>
        <v>157325</v>
      </c>
      <c r="G31" s="377">
        <f t="shared" si="4"/>
        <v>173062</v>
      </c>
      <c r="H31" s="388">
        <v>129371</v>
      </c>
      <c r="I31" s="389">
        <v>133878</v>
      </c>
      <c r="J31" s="388">
        <v>3464</v>
      </c>
      <c r="K31" s="390">
        <v>10663</v>
      </c>
      <c r="L31" s="381">
        <f>8878+5195+9387</f>
        <v>23460</v>
      </c>
      <c r="M31" s="388">
        <f>21+6+42</f>
        <v>69</v>
      </c>
      <c r="N31" s="388">
        <v>0</v>
      </c>
      <c r="O31" s="389">
        <v>28437</v>
      </c>
      <c r="P31" s="389">
        <v>0</v>
      </c>
      <c r="Q31" s="390">
        <v>84</v>
      </c>
      <c r="R31" s="381">
        <f>78+347+536</f>
        <v>961</v>
      </c>
      <c r="S31" s="390"/>
      <c r="T31" s="383">
        <f t="shared" si="5"/>
        <v>0</v>
      </c>
      <c r="U31" s="384">
        <f t="shared" si="6"/>
        <v>0</v>
      </c>
      <c r="V31" s="388"/>
      <c r="W31" s="389"/>
      <c r="X31" s="391"/>
      <c r="Y31" s="390"/>
      <c r="Z31" s="381"/>
      <c r="AA31" s="388"/>
      <c r="AB31" s="388"/>
      <c r="AC31" s="389"/>
      <c r="AD31" s="389"/>
      <c r="AE31" s="392"/>
      <c r="AF31" s="381"/>
      <c r="AG31" s="389"/>
    </row>
    <row r="32" spans="1:33">
      <c r="A32" s="373" t="s">
        <v>40</v>
      </c>
      <c r="B32" s="374" t="s">
        <v>68</v>
      </c>
      <c r="C32" s="374"/>
      <c r="D32" s="373">
        <v>101949</v>
      </c>
      <c r="E32" s="373">
        <v>10</v>
      </c>
      <c r="F32" s="376">
        <f t="shared" si="3"/>
        <v>36111</v>
      </c>
      <c r="G32" s="377">
        <f t="shared" si="4"/>
        <v>40476</v>
      </c>
      <c r="H32" s="388">
        <v>34607</v>
      </c>
      <c r="I32" s="389">
        <v>13590</v>
      </c>
      <c r="J32" s="388"/>
      <c r="K32" s="390">
        <v>25061</v>
      </c>
      <c r="L32" s="381">
        <v>1504</v>
      </c>
      <c r="M32" s="388">
        <v>0</v>
      </c>
      <c r="N32" s="388">
        <v>0</v>
      </c>
      <c r="O32" s="389">
        <v>1795</v>
      </c>
      <c r="P32" s="389">
        <v>30</v>
      </c>
      <c r="Q32" s="390">
        <v>0</v>
      </c>
      <c r="R32" s="381">
        <v>0</v>
      </c>
      <c r="S32" s="390"/>
      <c r="T32" s="383">
        <f t="shared" si="5"/>
        <v>0</v>
      </c>
      <c r="U32" s="384">
        <f t="shared" si="6"/>
        <v>0</v>
      </c>
      <c r="V32" s="388"/>
      <c r="W32" s="389"/>
      <c r="X32" s="391"/>
      <c r="Y32" s="390"/>
      <c r="Z32" s="381">
        <v>0</v>
      </c>
      <c r="AA32" s="388"/>
      <c r="AB32" s="388"/>
      <c r="AC32" s="389"/>
      <c r="AD32" s="389"/>
      <c r="AE32" s="392"/>
      <c r="AF32" s="381"/>
      <c r="AG32" s="389"/>
    </row>
    <row r="33" spans="1:33">
      <c r="A33" s="373" t="s">
        <v>40</v>
      </c>
      <c r="B33" s="374" t="s">
        <v>69</v>
      </c>
      <c r="C33" s="498" t="s">
        <v>779</v>
      </c>
      <c r="D33" s="373">
        <v>100760</v>
      </c>
      <c r="E33" s="373">
        <v>10</v>
      </c>
      <c r="F33" s="376">
        <f t="shared" si="3"/>
        <v>61832</v>
      </c>
      <c r="G33" s="377">
        <f t="shared" si="4"/>
        <v>66449</v>
      </c>
      <c r="H33" s="388">
        <v>52269</v>
      </c>
      <c r="I33" s="389">
        <v>47181</v>
      </c>
      <c r="J33" s="388"/>
      <c r="K33" s="390">
        <v>7299</v>
      </c>
      <c r="L33" s="381">
        <v>9563</v>
      </c>
      <c r="M33" s="388"/>
      <c r="N33" s="388"/>
      <c r="O33" s="389">
        <v>11969</v>
      </c>
      <c r="P33" s="389">
        <v>0</v>
      </c>
      <c r="Q33" s="390">
        <v>0</v>
      </c>
      <c r="R33" s="381"/>
      <c r="S33" s="390"/>
      <c r="T33" s="383">
        <f t="shared" si="5"/>
        <v>0</v>
      </c>
      <c r="U33" s="384">
        <f t="shared" si="6"/>
        <v>0</v>
      </c>
      <c r="V33" s="388"/>
      <c r="W33" s="389"/>
      <c r="X33" s="391"/>
      <c r="Y33" s="390"/>
      <c r="Z33" s="381"/>
      <c r="AA33" s="388"/>
      <c r="AB33" s="388"/>
      <c r="AC33" s="389"/>
      <c r="AD33" s="389"/>
      <c r="AE33" s="392"/>
      <c r="AF33" s="381"/>
      <c r="AG33" s="389"/>
    </row>
    <row r="34" spans="1:33">
      <c r="A34" s="373" t="s">
        <v>40</v>
      </c>
      <c r="B34" s="374" t="s">
        <v>70</v>
      </c>
      <c r="C34" s="374"/>
      <c r="D34" s="373">
        <v>101028</v>
      </c>
      <c r="E34" s="373">
        <v>10</v>
      </c>
      <c r="F34" s="376">
        <f t="shared" si="3"/>
        <v>46069</v>
      </c>
      <c r="G34" s="377">
        <f t="shared" si="4"/>
        <v>43194</v>
      </c>
      <c r="H34" s="388">
        <v>41426</v>
      </c>
      <c r="I34" s="389">
        <v>38435</v>
      </c>
      <c r="J34" s="388"/>
      <c r="K34" s="390">
        <v>72</v>
      </c>
      <c r="L34" s="381">
        <v>4643</v>
      </c>
      <c r="M34" s="388">
        <v>0</v>
      </c>
      <c r="N34" s="388">
        <v>0</v>
      </c>
      <c r="O34" s="389">
        <v>4687</v>
      </c>
      <c r="P34" s="389">
        <v>0</v>
      </c>
      <c r="Q34" s="390">
        <v>0</v>
      </c>
      <c r="R34" s="381"/>
      <c r="S34" s="390"/>
      <c r="T34" s="383">
        <f t="shared" si="5"/>
        <v>0</v>
      </c>
      <c r="U34" s="384">
        <f t="shared" si="6"/>
        <v>0</v>
      </c>
      <c r="V34" s="388"/>
      <c r="W34" s="389"/>
      <c r="X34" s="391"/>
      <c r="Y34" s="390"/>
      <c r="Z34" s="381"/>
      <c r="AA34" s="388"/>
      <c r="AB34" s="388"/>
      <c r="AC34" s="389"/>
      <c r="AD34" s="389"/>
      <c r="AE34" s="392"/>
      <c r="AF34" s="381"/>
      <c r="AG34" s="389"/>
    </row>
    <row r="35" spans="1:33">
      <c r="A35" s="373" t="s">
        <v>40</v>
      </c>
      <c r="B35" s="374" t="s">
        <v>71</v>
      </c>
      <c r="C35" s="498" t="s">
        <v>779</v>
      </c>
      <c r="D35" s="373">
        <v>101143</v>
      </c>
      <c r="E35" s="373">
        <v>10</v>
      </c>
      <c r="F35" s="376">
        <f t="shared" si="3"/>
        <v>72766</v>
      </c>
      <c r="G35" s="377">
        <f t="shared" si="4"/>
        <v>83509</v>
      </c>
      <c r="H35" s="388">
        <v>63841</v>
      </c>
      <c r="I35" s="389">
        <v>64010</v>
      </c>
      <c r="J35" s="388">
        <v>2682</v>
      </c>
      <c r="K35" s="390">
        <v>13473</v>
      </c>
      <c r="L35" s="381">
        <v>6186</v>
      </c>
      <c r="M35" s="388"/>
      <c r="N35" s="388">
        <v>57</v>
      </c>
      <c r="O35" s="389">
        <v>6026</v>
      </c>
      <c r="P35" s="389">
        <v>0</v>
      </c>
      <c r="Q35" s="390">
        <v>0</v>
      </c>
      <c r="R35" s="381"/>
      <c r="S35" s="390"/>
      <c r="T35" s="383">
        <f t="shared" si="5"/>
        <v>0</v>
      </c>
      <c r="U35" s="384">
        <f t="shared" si="6"/>
        <v>0</v>
      </c>
      <c r="V35" s="388"/>
      <c r="W35" s="389"/>
      <c r="X35" s="391"/>
      <c r="Y35" s="390"/>
      <c r="Z35" s="381"/>
      <c r="AA35" s="388"/>
      <c r="AB35" s="388"/>
      <c r="AC35" s="389"/>
      <c r="AD35" s="389"/>
      <c r="AE35" s="392"/>
      <c r="AF35" s="381"/>
      <c r="AG35" s="389"/>
    </row>
    <row r="36" spans="1:33">
      <c r="A36" s="373" t="s">
        <v>40</v>
      </c>
      <c r="B36" s="374" t="s">
        <v>72</v>
      </c>
      <c r="C36" s="374"/>
      <c r="D36" s="373">
        <v>101301</v>
      </c>
      <c r="E36" s="373">
        <v>10</v>
      </c>
      <c r="F36" s="376">
        <f t="shared" si="3"/>
        <v>51977</v>
      </c>
      <c r="G36" s="377">
        <f t="shared" si="4"/>
        <v>59867</v>
      </c>
      <c r="H36" s="388">
        <v>34693</v>
      </c>
      <c r="I36" s="389">
        <v>41098</v>
      </c>
      <c r="J36" s="388"/>
      <c r="K36" s="390">
        <v>0</v>
      </c>
      <c r="L36" s="381">
        <v>17284</v>
      </c>
      <c r="M36" s="388"/>
      <c r="N36" s="388"/>
      <c r="O36" s="389">
        <v>18769</v>
      </c>
      <c r="P36" s="389">
        <v>0</v>
      </c>
      <c r="Q36" s="390">
        <v>0</v>
      </c>
      <c r="R36" s="381"/>
      <c r="S36" s="390"/>
      <c r="T36" s="383">
        <f t="shared" si="5"/>
        <v>0</v>
      </c>
      <c r="U36" s="384">
        <f t="shared" si="6"/>
        <v>0</v>
      </c>
      <c r="V36" s="388"/>
      <c r="W36" s="389"/>
      <c r="X36" s="391"/>
      <c r="Y36" s="390"/>
      <c r="Z36" s="381"/>
      <c r="AA36" s="388"/>
      <c r="AB36" s="388"/>
      <c r="AC36" s="389"/>
      <c r="AD36" s="389"/>
      <c r="AE36" s="392"/>
      <c r="AF36" s="381"/>
      <c r="AG36" s="389"/>
    </row>
    <row r="37" spans="1:33">
      <c r="A37" s="373" t="s">
        <v>40</v>
      </c>
      <c r="B37" s="374" t="s">
        <v>73</v>
      </c>
      <c r="C37" s="374"/>
      <c r="D37" s="373">
        <v>101499</v>
      </c>
      <c r="E37" s="373">
        <v>10</v>
      </c>
      <c r="F37" s="376">
        <f t="shared" si="3"/>
        <v>33239</v>
      </c>
      <c r="G37" s="377">
        <f t="shared" si="4"/>
        <v>35324</v>
      </c>
      <c r="H37" s="388">
        <v>30063</v>
      </c>
      <c r="I37" s="389">
        <v>15893</v>
      </c>
      <c r="J37" s="388">
        <v>32</v>
      </c>
      <c r="K37" s="390">
        <v>15180</v>
      </c>
      <c r="L37" s="381">
        <v>3144</v>
      </c>
      <c r="M37" s="388"/>
      <c r="N37" s="388"/>
      <c r="O37" s="389">
        <v>3925</v>
      </c>
      <c r="P37" s="389">
        <v>0</v>
      </c>
      <c r="Q37" s="390">
        <v>326</v>
      </c>
      <c r="R37" s="381"/>
      <c r="S37" s="390"/>
      <c r="T37" s="383">
        <f t="shared" si="5"/>
        <v>0</v>
      </c>
      <c r="U37" s="384">
        <f t="shared" si="6"/>
        <v>0</v>
      </c>
      <c r="V37" s="388"/>
      <c r="W37" s="389"/>
      <c r="X37" s="391"/>
      <c r="Y37" s="390"/>
      <c r="Z37" s="381"/>
      <c r="AA37" s="388"/>
      <c r="AB37" s="388"/>
      <c r="AC37" s="389"/>
      <c r="AD37" s="389"/>
      <c r="AE37" s="392"/>
      <c r="AF37" s="381"/>
      <c r="AG37" s="389"/>
    </row>
    <row r="38" spans="1:33">
      <c r="A38" s="373" t="s">
        <v>40</v>
      </c>
      <c r="B38" s="374" t="s">
        <v>74</v>
      </c>
      <c r="C38" s="374"/>
      <c r="D38" s="373">
        <v>101602</v>
      </c>
      <c r="E38" s="373">
        <v>10</v>
      </c>
      <c r="F38" s="376">
        <f t="shared" si="3"/>
        <v>45549</v>
      </c>
      <c r="G38" s="377">
        <f t="shared" si="4"/>
        <v>50595</v>
      </c>
      <c r="H38" s="388">
        <v>35781</v>
      </c>
      <c r="I38" s="389">
        <v>39334</v>
      </c>
      <c r="J38" s="388"/>
      <c r="K38" s="390">
        <v>1323</v>
      </c>
      <c r="L38" s="381">
        <v>8047</v>
      </c>
      <c r="M38" s="388"/>
      <c r="N38" s="388">
        <v>1721</v>
      </c>
      <c r="O38" s="389">
        <v>9551</v>
      </c>
      <c r="P38" s="389">
        <v>0</v>
      </c>
      <c r="Q38" s="390">
        <v>387</v>
      </c>
      <c r="R38" s="381"/>
      <c r="S38" s="390"/>
      <c r="T38" s="383">
        <f t="shared" si="5"/>
        <v>0</v>
      </c>
      <c r="U38" s="384">
        <f t="shared" si="6"/>
        <v>0</v>
      </c>
      <c r="V38" s="388"/>
      <c r="W38" s="389"/>
      <c r="X38" s="391"/>
      <c r="Y38" s="390"/>
      <c r="Z38" s="381"/>
      <c r="AA38" s="388"/>
      <c r="AB38" s="388"/>
      <c r="AC38" s="389"/>
      <c r="AD38" s="389"/>
      <c r="AE38" s="392"/>
      <c r="AF38" s="381"/>
      <c r="AG38" s="389"/>
    </row>
    <row r="39" spans="1:33">
      <c r="A39" s="373" t="s">
        <v>40</v>
      </c>
      <c r="B39" s="499" t="s">
        <v>75</v>
      </c>
      <c r="C39" s="500" t="s">
        <v>777</v>
      </c>
      <c r="D39" s="373">
        <v>101897</v>
      </c>
      <c r="E39" s="501">
        <v>9</v>
      </c>
      <c r="F39" s="376">
        <f t="shared" si="3"/>
        <v>77045</v>
      </c>
      <c r="G39" s="377">
        <f t="shared" si="4"/>
        <v>89336</v>
      </c>
      <c r="H39" s="388">
        <v>57217</v>
      </c>
      <c r="I39" s="389">
        <v>62932</v>
      </c>
      <c r="J39" s="388">
        <v>3113</v>
      </c>
      <c r="K39" s="390">
        <v>5581</v>
      </c>
      <c r="L39" s="381">
        <v>16715</v>
      </c>
      <c r="M39" s="388"/>
      <c r="N39" s="388"/>
      <c r="O39" s="389">
        <v>20823</v>
      </c>
      <c r="P39" s="389">
        <v>0</v>
      </c>
      <c r="Q39" s="390">
        <v>0</v>
      </c>
      <c r="R39" s="381">
        <v>0</v>
      </c>
      <c r="S39" s="390"/>
      <c r="T39" s="383">
        <f t="shared" si="5"/>
        <v>0</v>
      </c>
      <c r="U39" s="384">
        <f t="shared" si="6"/>
        <v>0</v>
      </c>
      <c r="V39" s="388"/>
      <c r="W39" s="389"/>
      <c r="X39" s="391"/>
      <c r="Y39" s="390"/>
      <c r="Z39" s="381"/>
      <c r="AA39" s="388"/>
      <c r="AB39" s="388"/>
      <c r="AC39" s="389"/>
      <c r="AD39" s="389"/>
      <c r="AE39" s="392"/>
      <c r="AF39" s="381"/>
      <c r="AG39" s="389"/>
    </row>
    <row r="40" spans="1:33">
      <c r="A40" s="373" t="s">
        <v>40</v>
      </c>
      <c r="B40" s="374" t="s">
        <v>76</v>
      </c>
      <c r="C40" s="498" t="s">
        <v>780</v>
      </c>
      <c r="D40" s="373">
        <v>102076</v>
      </c>
      <c r="E40" s="373">
        <v>10</v>
      </c>
      <c r="F40" s="376">
        <f t="shared" si="3"/>
        <v>58109</v>
      </c>
      <c r="G40" s="377">
        <f t="shared" si="4"/>
        <v>63304</v>
      </c>
      <c r="H40" s="388">
        <v>34616</v>
      </c>
      <c r="I40" s="389">
        <v>35028</v>
      </c>
      <c r="J40" s="388">
        <v>2313</v>
      </c>
      <c r="K40" s="390">
        <v>2902</v>
      </c>
      <c r="L40" s="381">
        <v>20853</v>
      </c>
      <c r="M40" s="388">
        <v>327</v>
      </c>
      <c r="N40" s="388"/>
      <c r="O40" s="389">
        <v>24704</v>
      </c>
      <c r="P40" s="389">
        <v>670</v>
      </c>
      <c r="Q40" s="390">
        <v>0</v>
      </c>
      <c r="R40" s="381"/>
      <c r="S40" s="390"/>
      <c r="T40" s="383">
        <f t="shared" si="5"/>
        <v>0</v>
      </c>
      <c r="U40" s="384">
        <f t="shared" si="6"/>
        <v>0</v>
      </c>
      <c r="V40" s="388"/>
      <c r="W40" s="389"/>
      <c r="X40" s="391"/>
      <c r="Y40" s="390"/>
      <c r="Z40" s="381"/>
      <c r="AA40" s="388"/>
      <c r="AB40" s="388"/>
      <c r="AC40" s="389"/>
      <c r="AD40" s="389"/>
      <c r="AE40" s="392"/>
      <c r="AF40" s="381"/>
      <c r="AG40" s="389"/>
    </row>
    <row r="41" spans="1:33">
      <c r="A41" s="373" t="s">
        <v>40</v>
      </c>
      <c r="B41" s="374" t="s">
        <v>77</v>
      </c>
      <c r="C41" s="374"/>
      <c r="D41" s="373">
        <v>102313</v>
      </c>
      <c r="E41" s="373">
        <v>12</v>
      </c>
      <c r="F41" s="376">
        <f t="shared" si="3"/>
        <v>44426</v>
      </c>
      <c r="G41" s="377">
        <f t="shared" si="4"/>
        <v>49717</v>
      </c>
      <c r="H41" s="388">
        <v>33661</v>
      </c>
      <c r="I41" s="389">
        <v>20000</v>
      </c>
      <c r="J41" s="388">
        <v>6214</v>
      </c>
      <c r="K41" s="390">
        <v>25977</v>
      </c>
      <c r="L41" s="381">
        <v>2560</v>
      </c>
      <c r="M41" s="388">
        <v>0</v>
      </c>
      <c r="N41" s="388">
        <v>1991</v>
      </c>
      <c r="O41" s="389">
        <v>3740</v>
      </c>
      <c r="P41" s="389">
        <v>0</v>
      </c>
      <c r="Q41" s="390">
        <v>0</v>
      </c>
      <c r="R41" s="381">
        <v>0</v>
      </c>
      <c r="S41" s="390"/>
      <c r="T41" s="383">
        <f t="shared" si="5"/>
        <v>0</v>
      </c>
      <c r="U41" s="384">
        <f t="shared" si="6"/>
        <v>0</v>
      </c>
      <c r="V41" s="388"/>
      <c r="W41" s="389"/>
      <c r="X41" s="391"/>
      <c r="Y41" s="390"/>
      <c r="Z41" s="381"/>
      <c r="AA41" s="388"/>
      <c r="AB41" s="388"/>
      <c r="AC41" s="389"/>
      <c r="AD41" s="389"/>
      <c r="AE41" s="392"/>
      <c r="AF41" s="381"/>
      <c r="AG41" s="389"/>
    </row>
    <row r="42" spans="1:33">
      <c r="A42" s="373" t="s">
        <v>40</v>
      </c>
      <c r="B42" s="374" t="s">
        <v>78</v>
      </c>
      <c r="C42" s="498" t="s">
        <v>781</v>
      </c>
      <c r="D42" s="373">
        <v>101462</v>
      </c>
      <c r="E42" s="373">
        <v>13</v>
      </c>
      <c r="F42" s="376">
        <f t="shared" si="3"/>
        <v>0</v>
      </c>
      <c r="G42" s="377">
        <f t="shared" si="4"/>
        <v>35342</v>
      </c>
      <c r="H42" s="388"/>
      <c r="I42" s="389">
        <v>29932</v>
      </c>
      <c r="J42" s="388"/>
      <c r="K42" s="390">
        <v>229</v>
      </c>
      <c r="L42" s="381"/>
      <c r="M42" s="388"/>
      <c r="N42" s="388"/>
      <c r="O42" s="389">
        <v>5181</v>
      </c>
      <c r="P42" s="389">
        <v>0</v>
      </c>
      <c r="Q42" s="390">
        <v>0</v>
      </c>
      <c r="R42" s="381"/>
      <c r="S42" s="390"/>
      <c r="T42" s="383">
        <f t="shared" si="5"/>
        <v>0</v>
      </c>
      <c r="U42" s="384">
        <f t="shared" si="6"/>
        <v>0</v>
      </c>
      <c r="V42" s="388"/>
      <c r="W42" s="389"/>
      <c r="X42" s="391"/>
      <c r="Y42" s="390"/>
      <c r="Z42" s="381"/>
      <c r="AA42" s="388"/>
      <c r="AB42" s="388"/>
      <c r="AC42" s="389"/>
      <c r="AD42" s="389"/>
      <c r="AE42" s="392"/>
      <c r="AF42" s="381"/>
      <c r="AG42" s="389"/>
    </row>
    <row r="43" spans="1:33">
      <c r="A43" s="373" t="s">
        <v>40</v>
      </c>
      <c r="B43" s="374" t="s">
        <v>79</v>
      </c>
      <c r="C43" s="374"/>
      <c r="D43" s="373">
        <v>101471</v>
      </c>
      <c r="E43" s="373">
        <v>13</v>
      </c>
      <c r="F43" s="376">
        <f t="shared" si="3"/>
        <v>0</v>
      </c>
      <c r="G43" s="377">
        <f t="shared" si="4"/>
        <v>21172</v>
      </c>
      <c r="H43" s="388"/>
      <c r="I43" s="389">
        <v>6390</v>
      </c>
      <c r="J43" s="388"/>
      <c r="K43" s="390">
        <v>14782</v>
      </c>
      <c r="L43" s="381"/>
      <c r="M43" s="388"/>
      <c r="N43" s="388"/>
      <c r="O43" s="389">
        <v>0</v>
      </c>
      <c r="P43" s="389">
        <v>0</v>
      </c>
      <c r="Q43" s="390">
        <v>0</v>
      </c>
      <c r="R43" s="381"/>
      <c r="S43" s="390"/>
      <c r="T43" s="383">
        <f t="shared" si="5"/>
        <v>0</v>
      </c>
      <c r="U43" s="384">
        <f t="shared" si="6"/>
        <v>0</v>
      </c>
      <c r="V43" s="388"/>
      <c r="W43" s="389"/>
      <c r="X43" s="391"/>
      <c r="Y43" s="390"/>
      <c r="Z43" s="381"/>
      <c r="AA43" s="388"/>
      <c r="AB43" s="388"/>
      <c r="AC43" s="389"/>
      <c r="AD43" s="389"/>
      <c r="AE43" s="392"/>
      <c r="AF43" s="381"/>
      <c r="AG43" s="389"/>
    </row>
    <row r="44" spans="1:33">
      <c r="A44" s="373" t="s">
        <v>40</v>
      </c>
      <c r="B44" s="374" t="s">
        <v>80</v>
      </c>
      <c r="C44" s="374"/>
      <c r="D44" s="373">
        <v>101994</v>
      </c>
      <c r="E44" s="373">
        <v>13</v>
      </c>
      <c r="F44" s="376">
        <f t="shared" si="3"/>
        <v>20285</v>
      </c>
      <c r="G44" s="377">
        <f t="shared" si="4"/>
        <v>22821</v>
      </c>
      <c r="H44" s="388">
        <v>20285</v>
      </c>
      <c r="I44" s="389">
        <v>20039</v>
      </c>
      <c r="J44" s="388">
        <v>0</v>
      </c>
      <c r="K44" s="390">
        <v>1507</v>
      </c>
      <c r="L44" s="381">
        <v>0</v>
      </c>
      <c r="M44" s="388">
        <v>0</v>
      </c>
      <c r="N44" s="388">
        <v>0</v>
      </c>
      <c r="O44" s="389">
        <v>1275</v>
      </c>
      <c r="P44" s="389">
        <v>0</v>
      </c>
      <c r="Q44" s="390">
        <v>0</v>
      </c>
      <c r="R44" s="381">
        <v>0</v>
      </c>
      <c r="S44" s="390"/>
      <c r="T44" s="383">
        <f t="shared" si="5"/>
        <v>0</v>
      </c>
      <c r="U44" s="384">
        <f t="shared" si="6"/>
        <v>0</v>
      </c>
      <c r="V44" s="388"/>
      <c r="W44" s="389"/>
      <c r="X44" s="391"/>
      <c r="Y44" s="390"/>
      <c r="Z44" s="381">
        <v>0</v>
      </c>
      <c r="AA44" s="388"/>
      <c r="AB44" s="388"/>
      <c r="AC44" s="389"/>
      <c r="AD44" s="389"/>
      <c r="AE44" s="392"/>
      <c r="AF44" s="381"/>
      <c r="AG44" s="389"/>
    </row>
    <row r="45" spans="1:33" s="404" customFormat="1" ht="12.75" customHeight="1">
      <c r="A45" s="394" t="s">
        <v>81</v>
      </c>
      <c r="B45" s="395" t="s">
        <v>82</v>
      </c>
      <c r="C45" s="395"/>
      <c r="D45" s="394">
        <v>106397</v>
      </c>
      <c r="E45" s="396">
        <v>1</v>
      </c>
      <c r="F45" s="376">
        <f t="shared" si="3"/>
        <v>440897</v>
      </c>
      <c r="G45" s="377">
        <f t="shared" si="4"/>
        <v>473313</v>
      </c>
      <c r="H45" s="397">
        <v>421855</v>
      </c>
      <c r="I45" s="398">
        <v>446738</v>
      </c>
      <c r="J45" s="397">
        <v>9878</v>
      </c>
      <c r="K45" s="398">
        <v>11466</v>
      </c>
      <c r="L45" s="399">
        <v>8538</v>
      </c>
      <c r="M45" s="397">
        <v>539</v>
      </c>
      <c r="N45" s="397">
        <v>87</v>
      </c>
      <c r="O45" s="400">
        <f>351+6260+7714</f>
        <v>14325</v>
      </c>
      <c r="P45" s="400">
        <f>159+445</f>
        <v>604</v>
      </c>
      <c r="Q45" s="401">
        <f>117+63</f>
        <v>180</v>
      </c>
      <c r="R45" s="399"/>
      <c r="S45" s="401"/>
      <c r="T45" s="383">
        <f t="shared" si="5"/>
        <v>72232</v>
      </c>
      <c r="U45" s="384">
        <f t="shared" si="6"/>
        <v>75584</v>
      </c>
      <c r="V45" s="397">
        <v>56028</v>
      </c>
      <c r="W45" s="398">
        <v>57001</v>
      </c>
      <c r="X45" s="402">
        <v>3127</v>
      </c>
      <c r="Y45" s="401">
        <v>3516</v>
      </c>
      <c r="Z45" s="399">
        <v>10838</v>
      </c>
      <c r="AA45" s="397">
        <v>126</v>
      </c>
      <c r="AB45" s="397">
        <v>2113</v>
      </c>
      <c r="AC45" s="400">
        <f>4048+1041+6291</f>
        <v>11380</v>
      </c>
      <c r="AD45" s="400">
        <v>18</v>
      </c>
      <c r="AE45" s="403">
        <v>3669</v>
      </c>
      <c r="AF45" s="399"/>
      <c r="AG45" s="400"/>
    </row>
    <row r="46" spans="1:33" s="404" customFormat="1" ht="12.75" customHeight="1">
      <c r="A46" s="394" t="s">
        <v>81</v>
      </c>
      <c r="B46" s="395" t="s">
        <v>83</v>
      </c>
      <c r="C46" s="395"/>
      <c r="D46" s="394">
        <v>106458</v>
      </c>
      <c r="E46" s="396">
        <v>3</v>
      </c>
      <c r="F46" s="376">
        <f t="shared" si="3"/>
        <v>261694</v>
      </c>
      <c r="G46" s="377">
        <f t="shared" si="4"/>
        <v>271259</v>
      </c>
      <c r="H46" s="397">
        <v>198522</v>
      </c>
      <c r="I46" s="398">
        <v>193882</v>
      </c>
      <c r="J46" s="397">
        <v>22250</v>
      </c>
      <c r="K46" s="398">
        <v>25846</v>
      </c>
      <c r="L46" s="399">
        <v>36133</v>
      </c>
      <c r="M46" s="397">
        <v>4692</v>
      </c>
      <c r="N46" s="397">
        <v>97</v>
      </c>
      <c r="O46" s="400">
        <f>24708+22373</f>
        <v>47081</v>
      </c>
      <c r="P46" s="400">
        <f>2275+2175</f>
        <v>4450</v>
      </c>
      <c r="Q46" s="401">
        <v>0</v>
      </c>
      <c r="R46" s="399"/>
      <c r="S46" s="401"/>
      <c r="T46" s="383">
        <f t="shared" si="5"/>
        <v>41660</v>
      </c>
      <c r="U46" s="384">
        <f t="shared" si="6"/>
        <v>69309</v>
      </c>
      <c r="V46" s="397">
        <v>21519</v>
      </c>
      <c r="W46" s="398">
        <v>23853</v>
      </c>
      <c r="X46" s="402">
        <v>389</v>
      </c>
      <c r="Y46" s="401">
        <v>138</v>
      </c>
      <c r="Z46" s="399">
        <v>19461</v>
      </c>
      <c r="AA46" s="397">
        <v>189</v>
      </c>
      <c r="AB46" s="397">
        <v>102</v>
      </c>
      <c r="AC46" s="400">
        <f>18964+25986</f>
        <v>44950</v>
      </c>
      <c r="AD46" s="400">
        <f>194+69</f>
        <v>263</v>
      </c>
      <c r="AE46" s="403">
        <f>66+39</f>
        <v>105</v>
      </c>
      <c r="AF46" s="399"/>
      <c r="AG46" s="400"/>
    </row>
    <row r="47" spans="1:33" s="404" customFormat="1" ht="12.75" customHeight="1">
      <c r="A47" s="394" t="s">
        <v>81</v>
      </c>
      <c r="B47" s="395" t="s">
        <v>84</v>
      </c>
      <c r="C47" s="395"/>
      <c r="D47" s="394">
        <v>106245</v>
      </c>
      <c r="E47" s="396">
        <v>3</v>
      </c>
      <c r="F47" s="376">
        <f t="shared" si="3"/>
        <v>224625</v>
      </c>
      <c r="G47" s="377">
        <f t="shared" si="4"/>
        <v>232943</v>
      </c>
      <c r="H47" s="397">
        <v>152131</v>
      </c>
      <c r="I47" s="398">
        <v>156894</v>
      </c>
      <c r="J47" s="397">
        <v>17654</v>
      </c>
      <c r="K47" s="398">
        <v>17874</v>
      </c>
      <c r="L47" s="399">
        <v>54492</v>
      </c>
      <c r="M47" s="397">
        <v>0</v>
      </c>
      <c r="N47" s="397">
        <v>348</v>
      </c>
      <c r="O47" s="400">
        <f>29847+28328</f>
        <v>58175</v>
      </c>
      <c r="P47" s="400"/>
      <c r="Q47" s="401">
        <v>0</v>
      </c>
      <c r="R47" s="399"/>
      <c r="S47" s="401"/>
      <c r="T47" s="383">
        <f t="shared" si="5"/>
        <v>51282</v>
      </c>
      <c r="U47" s="384">
        <f t="shared" si="6"/>
        <v>51489</v>
      </c>
      <c r="V47" s="397">
        <v>26673</v>
      </c>
      <c r="W47" s="398">
        <v>25970</v>
      </c>
      <c r="X47" s="402">
        <v>12882</v>
      </c>
      <c r="Y47" s="401">
        <v>13569</v>
      </c>
      <c r="Z47" s="399">
        <v>11655</v>
      </c>
      <c r="AA47" s="397"/>
      <c r="AB47" s="397">
        <v>72</v>
      </c>
      <c r="AC47" s="400">
        <f>7306+4644</f>
        <v>11950</v>
      </c>
      <c r="AD47" s="400">
        <v>0</v>
      </c>
      <c r="AE47" s="403">
        <v>0</v>
      </c>
      <c r="AF47" s="399"/>
      <c r="AG47" s="400"/>
    </row>
    <row r="48" spans="1:33" s="404" customFormat="1" ht="12.75" customHeight="1">
      <c r="A48" s="394" t="s">
        <v>81</v>
      </c>
      <c r="B48" s="395" t="s">
        <v>85</v>
      </c>
      <c r="C48" s="395"/>
      <c r="D48" s="394">
        <v>106704</v>
      </c>
      <c r="E48" s="396">
        <v>3</v>
      </c>
      <c r="F48" s="376">
        <f t="shared" si="3"/>
        <v>287999</v>
      </c>
      <c r="G48" s="377">
        <f t="shared" si="4"/>
        <v>274416</v>
      </c>
      <c r="H48" s="397">
        <v>265513</v>
      </c>
      <c r="I48" s="398">
        <v>258786</v>
      </c>
      <c r="J48" s="397">
        <v>12209</v>
      </c>
      <c r="K48" s="398">
        <v>6177</v>
      </c>
      <c r="L48" s="399">
        <v>0</v>
      </c>
      <c r="M48" s="397">
        <v>2</v>
      </c>
      <c r="N48" s="397">
        <v>9673</v>
      </c>
      <c r="O48" s="400">
        <v>4513</v>
      </c>
      <c r="P48" s="400">
        <v>4240</v>
      </c>
      <c r="Q48" s="401">
        <v>0</v>
      </c>
      <c r="R48" s="399">
        <v>602</v>
      </c>
      <c r="S48" s="401">
        <v>700</v>
      </c>
      <c r="T48" s="383">
        <f t="shared" si="5"/>
        <v>34172</v>
      </c>
      <c r="U48" s="384">
        <f t="shared" si="6"/>
        <v>32999</v>
      </c>
      <c r="V48" s="397">
        <v>24327</v>
      </c>
      <c r="W48" s="398">
        <v>23605</v>
      </c>
      <c r="X48" s="402">
        <v>1452</v>
      </c>
      <c r="Y48" s="401">
        <v>1662</v>
      </c>
      <c r="Z48" s="399"/>
      <c r="AA48" s="397">
        <v>258</v>
      </c>
      <c r="AB48" s="397">
        <v>8084</v>
      </c>
      <c r="AC48" s="400">
        <v>3406</v>
      </c>
      <c r="AD48" s="400">
        <f>3624+351+351</f>
        <v>4326</v>
      </c>
      <c r="AE48" s="403">
        <v>0</v>
      </c>
      <c r="AF48" s="399">
        <v>51</v>
      </c>
      <c r="AG48" s="400"/>
    </row>
    <row r="49" spans="1:33" s="404" customFormat="1" ht="12.75" customHeight="1">
      <c r="A49" s="394" t="s">
        <v>81</v>
      </c>
      <c r="B49" s="395" t="s">
        <v>86</v>
      </c>
      <c r="C49" s="502" t="s">
        <v>775</v>
      </c>
      <c r="D49" s="394">
        <v>106467</v>
      </c>
      <c r="E49" s="396">
        <v>4</v>
      </c>
      <c r="F49" s="376">
        <f t="shared" si="3"/>
        <v>188683</v>
      </c>
      <c r="G49" s="377">
        <f t="shared" si="4"/>
        <v>208684</v>
      </c>
      <c r="H49" s="397">
        <v>155162</v>
      </c>
      <c r="I49" s="398">
        <v>163408</v>
      </c>
      <c r="J49" s="397">
        <v>8316</v>
      </c>
      <c r="K49" s="398">
        <v>14672</v>
      </c>
      <c r="L49" s="399">
        <v>25205</v>
      </c>
      <c r="M49" s="397"/>
      <c r="N49" s="397"/>
      <c r="O49" s="400">
        <f>15430+15174</f>
        <v>30604</v>
      </c>
      <c r="P49" s="400"/>
      <c r="Q49" s="401">
        <v>0</v>
      </c>
      <c r="R49" s="399"/>
      <c r="S49" s="401"/>
      <c r="T49" s="383">
        <f t="shared" si="5"/>
        <v>8965</v>
      </c>
      <c r="U49" s="384">
        <f t="shared" si="6"/>
        <v>11684</v>
      </c>
      <c r="V49" s="397">
        <v>5235</v>
      </c>
      <c r="W49" s="398">
        <v>5676</v>
      </c>
      <c r="X49" s="402">
        <v>659</v>
      </c>
      <c r="Y49" s="401">
        <v>1046</v>
      </c>
      <c r="Z49" s="399">
        <v>3056</v>
      </c>
      <c r="AA49" s="397">
        <v>15</v>
      </c>
      <c r="AB49" s="397"/>
      <c r="AC49" s="400">
        <f>2402+2368</f>
        <v>4770</v>
      </c>
      <c r="AD49" s="400">
        <f>101+91</f>
        <v>192</v>
      </c>
      <c r="AE49" s="403">
        <v>0</v>
      </c>
      <c r="AF49" s="399"/>
      <c r="AG49" s="400"/>
    </row>
    <row r="50" spans="1:33" s="404" customFormat="1" ht="12.75" customHeight="1">
      <c r="A50" s="394" t="s">
        <v>81</v>
      </c>
      <c r="B50" s="395" t="s">
        <v>87</v>
      </c>
      <c r="C50" s="395"/>
      <c r="D50" s="394">
        <v>107071</v>
      </c>
      <c r="E50" s="396">
        <v>4</v>
      </c>
      <c r="F50" s="376">
        <f t="shared" si="3"/>
        <v>87055</v>
      </c>
      <c r="G50" s="377">
        <f t="shared" si="4"/>
        <v>93335</v>
      </c>
      <c r="H50" s="397">
        <v>80572</v>
      </c>
      <c r="I50" s="398">
        <v>85117</v>
      </c>
      <c r="J50" s="397">
        <v>692</v>
      </c>
      <c r="K50" s="398">
        <v>723</v>
      </c>
      <c r="L50" s="399">
        <v>5791</v>
      </c>
      <c r="M50" s="397"/>
      <c r="N50" s="397">
        <v>0</v>
      </c>
      <c r="O50" s="400">
        <f>3567</f>
        <v>3567</v>
      </c>
      <c r="P50" s="400">
        <v>3224</v>
      </c>
      <c r="Q50" s="401">
        <v>704</v>
      </c>
      <c r="R50" s="399"/>
      <c r="S50" s="401"/>
      <c r="T50" s="383">
        <f t="shared" si="5"/>
        <v>11893</v>
      </c>
      <c r="U50" s="384">
        <f t="shared" si="6"/>
        <v>8648</v>
      </c>
      <c r="V50" s="397">
        <v>8470</v>
      </c>
      <c r="W50" s="398">
        <v>7097</v>
      </c>
      <c r="X50" s="402">
        <v>3303</v>
      </c>
      <c r="Y50" s="401">
        <v>1197</v>
      </c>
      <c r="Z50" s="399">
        <v>120</v>
      </c>
      <c r="AA50" s="397"/>
      <c r="AB50" s="397"/>
      <c r="AC50" s="400">
        <v>78</v>
      </c>
      <c r="AD50" s="400">
        <v>255</v>
      </c>
      <c r="AE50" s="403">
        <v>21</v>
      </c>
      <c r="AF50" s="399"/>
      <c r="AG50" s="400"/>
    </row>
    <row r="51" spans="1:33" s="404" customFormat="1" ht="12.75" customHeight="1">
      <c r="A51" s="394" t="s">
        <v>81</v>
      </c>
      <c r="B51" s="395" t="s">
        <v>88</v>
      </c>
      <c r="C51" s="502" t="s">
        <v>782</v>
      </c>
      <c r="D51" s="394">
        <v>107983</v>
      </c>
      <c r="E51" s="396">
        <v>5</v>
      </c>
      <c r="F51" s="376">
        <f t="shared" si="3"/>
        <v>76071</v>
      </c>
      <c r="G51" s="377">
        <f t="shared" si="4"/>
        <v>81946</v>
      </c>
      <c r="H51" s="397">
        <v>67441</v>
      </c>
      <c r="I51" s="398">
        <v>72159</v>
      </c>
      <c r="J51" s="397">
        <v>2096</v>
      </c>
      <c r="K51" s="398">
        <v>2199</v>
      </c>
      <c r="L51" s="399">
        <v>6216</v>
      </c>
      <c r="M51" s="397">
        <v>318</v>
      </c>
      <c r="N51" s="397"/>
      <c r="O51" s="400">
        <f>3743+3662</f>
        <v>7405</v>
      </c>
      <c r="P51" s="400">
        <f>75+108</f>
        <v>183</v>
      </c>
      <c r="Q51" s="401">
        <v>0</v>
      </c>
      <c r="R51" s="399"/>
      <c r="S51" s="401"/>
      <c r="T51" s="383">
        <f t="shared" si="5"/>
        <v>8157</v>
      </c>
      <c r="U51" s="384">
        <f t="shared" si="6"/>
        <v>8038</v>
      </c>
      <c r="V51" s="397">
        <v>3456</v>
      </c>
      <c r="W51" s="398">
        <v>2720</v>
      </c>
      <c r="X51" s="402">
        <v>246</v>
      </c>
      <c r="Y51" s="401">
        <v>224</v>
      </c>
      <c r="Z51" s="399">
        <v>4455</v>
      </c>
      <c r="AA51" s="397"/>
      <c r="AB51" s="397"/>
      <c r="AC51" s="400">
        <f>2571+2523</f>
        <v>5094</v>
      </c>
      <c r="AD51" s="400">
        <v>0</v>
      </c>
      <c r="AE51" s="403">
        <v>0</v>
      </c>
      <c r="AF51" s="399"/>
      <c r="AG51" s="400"/>
    </row>
    <row r="52" spans="1:33" s="404" customFormat="1" ht="12.75" customHeight="1">
      <c r="A52" s="394" t="s">
        <v>81</v>
      </c>
      <c r="B52" s="395" t="s">
        <v>89</v>
      </c>
      <c r="C52" s="395"/>
      <c r="D52" s="394">
        <v>106485</v>
      </c>
      <c r="E52" s="396">
        <v>5</v>
      </c>
      <c r="F52" s="376">
        <f t="shared" si="3"/>
        <v>67572</v>
      </c>
      <c r="G52" s="377">
        <f t="shared" si="4"/>
        <v>70587</v>
      </c>
      <c r="H52" s="397">
        <v>57677</v>
      </c>
      <c r="I52" s="398">
        <v>59569</v>
      </c>
      <c r="J52" s="397">
        <v>925</v>
      </c>
      <c r="K52" s="398">
        <v>1124</v>
      </c>
      <c r="L52" s="399">
        <v>6543</v>
      </c>
      <c r="M52" s="397">
        <v>2427</v>
      </c>
      <c r="N52" s="397"/>
      <c r="O52" s="400">
        <f>3470+3991</f>
        <v>7461</v>
      </c>
      <c r="P52" s="400">
        <v>927</v>
      </c>
      <c r="Q52" s="401">
        <v>1506</v>
      </c>
      <c r="R52" s="399"/>
      <c r="S52" s="401"/>
      <c r="T52" s="383">
        <f t="shared" si="5"/>
        <v>2120</v>
      </c>
      <c r="U52" s="384">
        <f t="shared" si="6"/>
        <v>2591</v>
      </c>
      <c r="V52" s="397">
        <v>1145</v>
      </c>
      <c r="W52" s="398">
        <v>1290</v>
      </c>
      <c r="X52" s="402">
        <v>6</v>
      </c>
      <c r="Y52" s="401">
        <v>15</v>
      </c>
      <c r="Z52" s="399">
        <v>969</v>
      </c>
      <c r="AA52" s="397"/>
      <c r="AB52" s="397"/>
      <c r="AC52" s="400">
        <f>822+464</f>
        <v>1286</v>
      </c>
      <c r="AD52" s="400">
        <v>0</v>
      </c>
      <c r="AE52" s="403">
        <v>0</v>
      </c>
      <c r="AF52" s="399"/>
      <c r="AG52" s="400"/>
    </row>
    <row r="53" spans="1:33" s="404" customFormat="1" ht="12.75" customHeight="1">
      <c r="A53" s="394" t="s">
        <v>81</v>
      </c>
      <c r="B53" s="395" t="s">
        <v>90</v>
      </c>
      <c r="C53" s="395"/>
      <c r="D53" s="394">
        <v>108092</v>
      </c>
      <c r="E53" s="396">
        <v>6</v>
      </c>
      <c r="F53" s="376">
        <f t="shared" si="3"/>
        <v>174359</v>
      </c>
      <c r="G53" s="377">
        <f t="shared" si="4"/>
        <v>188801</v>
      </c>
      <c r="H53" s="397">
        <v>148245</v>
      </c>
      <c r="I53" s="398">
        <v>163192</v>
      </c>
      <c r="J53" s="397">
        <v>2064</v>
      </c>
      <c r="K53" s="398">
        <v>2253</v>
      </c>
      <c r="L53" s="399">
        <v>23792</v>
      </c>
      <c r="M53" s="397">
        <v>258</v>
      </c>
      <c r="N53" s="397"/>
      <c r="O53" s="400">
        <f>9493+13407</f>
        <v>22900</v>
      </c>
      <c r="P53" s="400">
        <f>180+276</f>
        <v>456</v>
      </c>
      <c r="Q53" s="401">
        <v>0</v>
      </c>
      <c r="R53" s="399"/>
      <c r="S53" s="401"/>
      <c r="T53" s="383">
        <f t="shared" si="5"/>
        <v>0</v>
      </c>
      <c r="U53" s="384">
        <f t="shared" si="6"/>
        <v>0</v>
      </c>
      <c r="V53" s="397"/>
      <c r="W53" s="398">
        <v>0</v>
      </c>
      <c r="X53" s="402"/>
      <c r="Y53" s="401">
        <v>0</v>
      </c>
      <c r="Z53" s="399"/>
      <c r="AA53" s="397"/>
      <c r="AB53" s="397"/>
      <c r="AC53" s="400">
        <v>0</v>
      </c>
      <c r="AD53" s="400">
        <v>0</v>
      </c>
      <c r="AE53" s="403">
        <v>0</v>
      </c>
      <c r="AF53" s="399"/>
      <c r="AG53" s="400"/>
    </row>
    <row r="54" spans="1:33" s="404" customFormat="1" ht="12.75" customHeight="1">
      <c r="A54" s="394" t="s">
        <v>81</v>
      </c>
      <c r="B54" s="395" t="s">
        <v>91</v>
      </c>
      <c r="C54" s="502" t="s">
        <v>783</v>
      </c>
      <c r="D54" s="394">
        <v>106412</v>
      </c>
      <c r="E54" s="396">
        <v>6</v>
      </c>
      <c r="F54" s="376">
        <f t="shared" si="3"/>
        <v>99114</v>
      </c>
      <c r="G54" s="377">
        <f t="shared" si="4"/>
        <v>95470</v>
      </c>
      <c r="H54" s="397">
        <v>90011</v>
      </c>
      <c r="I54" s="398">
        <v>87105</v>
      </c>
      <c r="J54" s="397">
        <v>2982</v>
      </c>
      <c r="K54" s="398">
        <v>1627</v>
      </c>
      <c r="L54" s="399">
        <v>0</v>
      </c>
      <c r="M54" s="397">
        <v>6121</v>
      </c>
      <c r="N54" s="397"/>
      <c r="O54" s="400"/>
      <c r="P54" s="400">
        <f>3515+3223</f>
        <v>6738</v>
      </c>
      <c r="Q54" s="401">
        <v>0</v>
      </c>
      <c r="R54" s="399"/>
      <c r="S54" s="401"/>
      <c r="T54" s="383">
        <f t="shared" si="5"/>
        <v>2217</v>
      </c>
      <c r="U54" s="384">
        <f t="shared" si="6"/>
        <v>2132</v>
      </c>
      <c r="V54" s="397">
        <v>1890</v>
      </c>
      <c r="W54" s="400">
        <v>1715</v>
      </c>
      <c r="X54" s="402"/>
      <c r="Y54" s="401">
        <v>0</v>
      </c>
      <c r="Z54" s="399"/>
      <c r="AA54" s="397">
        <v>327</v>
      </c>
      <c r="AB54" s="397"/>
      <c r="AC54" s="400"/>
      <c r="AD54" s="400">
        <v>417</v>
      </c>
      <c r="AE54" s="403"/>
      <c r="AF54" s="399"/>
      <c r="AG54" s="400"/>
    </row>
    <row r="55" spans="1:33" s="404" customFormat="1" ht="12.75" customHeight="1">
      <c r="A55" s="405" t="s">
        <v>81</v>
      </c>
      <c r="B55" s="406" t="s">
        <v>92</v>
      </c>
      <c r="C55" s="406"/>
      <c r="D55" s="405">
        <v>107664</v>
      </c>
      <c r="E55" s="407">
        <v>8</v>
      </c>
      <c r="F55" s="376">
        <f t="shared" si="3"/>
        <v>212397</v>
      </c>
      <c r="G55" s="377">
        <f t="shared" si="4"/>
        <v>246096</v>
      </c>
      <c r="H55" s="397">
        <v>150112</v>
      </c>
      <c r="I55" s="398">
        <v>168189</v>
      </c>
      <c r="J55" s="397">
        <v>0</v>
      </c>
      <c r="K55" s="398">
        <v>0</v>
      </c>
      <c r="L55" s="399">
        <v>62285</v>
      </c>
      <c r="M55" s="397"/>
      <c r="N55" s="397"/>
      <c r="O55" s="400">
        <f>34576+43331</f>
        <v>77907</v>
      </c>
      <c r="P55" s="400"/>
      <c r="Q55" s="401">
        <v>0</v>
      </c>
      <c r="R55" s="399"/>
      <c r="S55" s="401"/>
      <c r="T55" s="383">
        <f t="shared" si="5"/>
        <v>0</v>
      </c>
      <c r="U55" s="384">
        <f t="shared" si="6"/>
        <v>0</v>
      </c>
      <c r="V55" s="397"/>
      <c r="W55" s="400">
        <v>0</v>
      </c>
      <c r="X55" s="402"/>
      <c r="Y55" s="401">
        <v>0</v>
      </c>
      <c r="Z55" s="399"/>
      <c r="AA55" s="397"/>
      <c r="AB55" s="397"/>
      <c r="AC55" s="400"/>
      <c r="AD55" s="400"/>
      <c r="AE55" s="403"/>
      <c r="AF55" s="399"/>
      <c r="AG55" s="400"/>
    </row>
    <row r="56" spans="1:33" s="404" customFormat="1" ht="12.75" customHeight="1">
      <c r="A56" s="394" t="s">
        <v>81</v>
      </c>
      <c r="B56" s="395" t="s">
        <v>93</v>
      </c>
      <c r="C56" s="395"/>
      <c r="D56" s="394">
        <v>106449</v>
      </c>
      <c r="E56" s="396">
        <v>9</v>
      </c>
      <c r="F56" s="376">
        <f t="shared" si="3"/>
        <v>100997</v>
      </c>
      <c r="G56" s="377">
        <f t="shared" si="4"/>
        <v>106220</v>
      </c>
      <c r="H56" s="397">
        <v>58966</v>
      </c>
      <c r="I56" s="398">
        <v>75881</v>
      </c>
      <c r="J56" s="397">
        <v>22920</v>
      </c>
      <c r="K56" s="398">
        <v>7938</v>
      </c>
      <c r="L56" s="399">
        <v>19111</v>
      </c>
      <c r="M56" s="397"/>
      <c r="N56" s="397"/>
      <c r="O56" s="400">
        <f>11032+11369</f>
        <v>22401</v>
      </c>
      <c r="P56" s="400"/>
      <c r="Q56" s="401">
        <v>0</v>
      </c>
      <c r="R56" s="399"/>
      <c r="S56" s="401"/>
      <c r="T56" s="383">
        <f t="shared" si="5"/>
        <v>0</v>
      </c>
      <c r="U56" s="384">
        <f t="shared" si="6"/>
        <v>0</v>
      </c>
      <c r="V56" s="397"/>
      <c r="W56" s="400">
        <v>0</v>
      </c>
      <c r="X56" s="402"/>
      <c r="Y56" s="401">
        <v>0</v>
      </c>
      <c r="Z56" s="399"/>
      <c r="AA56" s="397"/>
      <c r="AB56" s="397"/>
      <c r="AC56" s="400"/>
      <c r="AD56" s="400"/>
      <c r="AE56" s="403"/>
      <c r="AF56" s="399"/>
      <c r="AG56" s="400"/>
    </row>
    <row r="57" spans="1:33" s="404" customFormat="1" ht="12.75" customHeight="1">
      <c r="A57" s="394" t="s">
        <v>81</v>
      </c>
      <c r="B57" s="395" t="s">
        <v>94</v>
      </c>
      <c r="C57" s="506" t="s">
        <v>785</v>
      </c>
      <c r="D57" s="394">
        <v>367459</v>
      </c>
      <c r="E57" s="396">
        <v>9</v>
      </c>
      <c r="F57" s="376">
        <f t="shared" si="3"/>
        <v>153367</v>
      </c>
      <c r="G57" s="377">
        <f t="shared" si="4"/>
        <v>171087</v>
      </c>
      <c r="H57" s="397">
        <v>103268</v>
      </c>
      <c r="I57" s="398">
        <v>116236</v>
      </c>
      <c r="J57" s="397">
        <v>19143</v>
      </c>
      <c r="K57" s="398">
        <v>19775</v>
      </c>
      <c r="L57" s="399">
        <v>3183</v>
      </c>
      <c r="M57" s="397">
        <v>535</v>
      </c>
      <c r="N57" s="397">
        <v>27238</v>
      </c>
      <c r="O57" s="400">
        <f>1532+14512</f>
        <v>16044</v>
      </c>
      <c r="P57" s="400">
        <f>173+17718+258</f>
        <v>18149</v>
      </c>
      <c r="Q57" s="401">
        <v>883</v>
      </c>
      <c r="R57" s="399"/>
      <c r="S57" s="401"/>
      <c r="T57" s="383">
        <f t="shared" si="5"/>
        <v>0</v>
      </c>
      <c r="U57" s="384">
        <f t="shared" si="6"/>
        <v>0</v>
      </c>
      <c r="V57" s="397"/>
      <c r="W57" s="400">
        <v>0</v>
      </c>
      <c r="X57" s="402"/>
      <c r="Y57" s="401">
        <v>0</v>
      </c>
      <c r="Z57" s="399"/>
      <c r="AA57" s="397"/>
      <c r="AB57" s="397"/>
      <c r="AC57" s="400"/>
      <c r="AD57" s="400"/>
      <c r="AE57" s="403"/>
      <c r="AF57" s="399"/>
      <c r="AG57" s="400"/>
    </row>
    <row r="58" spans="1:33" s="404" customFormat="1" ht="12.75" customHeight="1">
      <c r="A58" s="394" t="s">
        <v>81</v>
      </c>
      <c r="B58" s="395" t="s">
        <v>95</v>
      </c>
      <c r="C58" s="395"/>
      <c r="D58" s="394">
        <v>107327</v>
      </c>
      <c r="E58" s="396">
        <v>10</v>
      </c>
      <c r="F58" s="376">
        <f t="shared" si="3"/>
        <v>42729</v>
      </c>
      <c r="G58" s="377">
        <f t="shared" si="4"/>
        <v>45187</v>
      </c>
      <c r="H58" s="397">
        <v>32505</v>
      </c>
      <c r="I58" s="398">
        <v>33733</v>
      </c>
      <c r="J58" s="397">
        <v>3797</v>
      </c>
      <c r="K58" s="398">
        <v>3649</v>
      </c>
      <c r="L58" s="399">
        <v>5996</v>
      </c>
      <c r="M58" s="397">
        <v>431</v>
      </c>
      <c r="N58" s="397"/>
      <c r="O58" s="400">
        <f>4307+2547</f>
        <v>6854</v>
      </c>
      <c r="P58" s="404">
        <f>456+495</f>
        <v>951</v>
      </c>
      <c r="Q58" s="401">
        <f>0</f>
        <v>0</v>
      </c>
      <c r="R58" s="399"/>
      <c r="S58" s="401"/>
      <c r="T58" s="383">
        <f t="shared" si="5"/>
        <v>0</v>
      </c>
      <c r="U58" s="384">
        <f t="shared" si="6"/>
        <v>0</v>
      </c>
      <c r="V58" s="397"/>
      <c r="W58" s="400">
        <v>0</v>
      </c>
      <c r="X58" s="402"/>
      <c r="Y58" s="401">
        <v>0</v>
      </c>
      <c r="Z58" s="399"/>
      <c r="AA58" s="397"/>
      <c r="AB58" s="397"/>
      <c r="AC58" s="400"/>
      <c r="AD58" s="400"/>
      <c r="AE58" s="403"/>
      <c r="AF58" s="399"/>
      <c r="AG58" s="400"/>
    </row>
    <row r="59" spans="1:33" s="404" customFormat="1" ht="12.75" customHeight="1">
      <c r="A59" s="394" t="s">
        <v>81</v>
      </c>
      <c r="B59" s="395" t="s">
        <v>96</v>
      </c>
      <c r="C59" s="395"/>
      <c r="D59" s="394">
        <v>420538</v>
      </c>
      <c r="E59" s="396">
        <v>10</v>
      </c>
      <c r="F59" s="376">
        <f t="shared" si="3"/>
        <v>32124</v>
      </c>
      <c r="G59" s="377">
        <f t="shared" si="4"/>
        <v>37542</v>
      </c>
      <c r="H59" s="397">
        <v>22507</v>
      </c>
      <c r="I59" s="398">
        <v>24556</v>
      </c>
      <c r="J59" s="397">
        <v>950</v>
      </c>
      <c r="K59" s="398">
        <v>1198</v>
      </c>
      <c r="L59" s="399">
        <v>8383</v>
      </c>
      <c r="M59" s="397">
        <v>284</v>
      </c>
      <c r="N59" s="397"/>
      <c r="O59" s="400">
        <f>6067+5268</f>
        <v>11335</v>
      </c>
      <c r="P59" s="400">
        <f>261+192</f>
        <v>453</v>
      </c>
      <c r="Q59" s="401">
        <v>0</v>
      </c>
      <c r="R59" s="399"/>
      <c r="S59" s="401"/>
      <c r="T59" s="383">
        <f t="shared" si="5"/>
        <v>0</v>
      </c>
      <c r="U59" s="384">
        <f t="shared" si="6"/>
        <v>0</v>
      </c>
      <c r="V59" s="397"/>
      <c r="W59" s="400">
        <v>0</v>
      </c>
      <c r="X59" s="402"/>
      <c r="Y59" s="401">
        <v>0</v>
      </c>
      <c r="Z59" s="399"/>
      <c r="AA59" s="397"/>
      <c r="AB59" s="397"/>
      <c r="AC59" s="400"/>
      <c r="AD59" s="400"/>
      <c r="AE59" s="403"/>
      <c r="AF59" s="399"/>
      <c r="AG59" s="400"/>
    </row>
    <row r="60" spans="1:33" s="404" customFormat="1" ht="12.75" customHeight="1">
      <c r="A60" s="394" t="s">
        <v>81</v>
      </c>
      <c r="B60" s="395" t="s">
        <v>97</v>
      </c>
      <c r="C60" s="395"/>
      <c r="D60" s="394">
        <v>440402</v>
      </c>
      <c r="E60" s="396">
        <v>10</v>
      </c>
      <c r="F60" s="376">
        <f t="shared" si="3"/>
        <v>41054</v>
      </c>
      <c r="G60" s="377">
        <f t="shared" si="4"/>
        <v>46758</v>
      </c>
      <c r="H60" s="397">
        <v>14767</v>
      </c>
      <c r="I60" s="398">
        <v>10605</v>
      </c>
      <c r="J60" s="397">
        <v>12689</v>
      </c>
      <c r="K60" s="398">
        <v>17827</v>
      </c>
      <c r="L60" s="399">
        <v>13598</v>
      </c>
      <c r="M60" s="397"/>
      <c r="N60" s="397"/>
      <c r="O60" s="400">
        <f>9069+8654</f>
        <v>17723</v>
      </c>
      <c r="P60" s="400">
        <v>603</v>
      </c>
      <c r="Q60" s="401">
        <v>0</v>
      </c>
      <c r="R60" s="399"/>
      <c r="S60" s="401"/>
      <c r="T60" s="383">
        <f t="shared" si="5"/>
        <v>0</v>
      </c>
      <c r="U60" s="384">
        <f t="shared" si="6"/>
        <v>0</v>
      </c>
      <c r="V60" s="397"/>
      <c r="W60" s="400">
        <v>0</v>
      </c>
      <c r="X60" s="402"/>
      <c r="Y60" s="401">
        <v>0</v>
      </c>
      <c r="Z60" s="399"/>
      <c r="AA60" s="397"/>
      <c r="AB60" s="397"/>
      <c r="AC60" s="400"/>
      <c r="AD60" s="400"/>
      <c r="AE60" s="403"/>
      <c r="AF60" s="399"/>
      <c r="AG60" s="400"/>
    </row>
    <row r="61" spans="1:33" s="404" customFormat="1" ht="12.75" customHeight="1">
      <c r="A61" s="394" t="s">
        <v>81</v>
      </c>
      <c r="B61" s="395" t="s">
        <v>98</v>
      </c>
      <c r="C61" s="506" t="s">
        <v>780</v>
      </c>
      <c r="D61" s="394">
        <v>106625</v>
      </c>
      <c r="E61" s="396">
        <v>10</v>
      </c>
      <c r="F61" s="376">
        <f t="shared" si="3"/>
        <v>51194</v>
      </c>
      <c r="G61" s="377">
        <f t="shared" si="4"/>
        <v>60662</v>
      </c>
      <c r="H61" s="397">
        <v>29483</v>
      </c>
      <c r="I61" s="398">
        <v>30781</v>
      </c>
      <c r="J61" s="397">
        <v>11761</v>
      </c>
      <c r="K61" s="398">
        <v>17554</v>
      </c>
      <c r="L61" s="399">
        <v>8308</v>
      </c>
      <c r="M61" s="397">
        <v>1642</v>
      </c>
      <c r="N61" s="397"/>
      <c r="O61" s="400">
        <f>5227+5375</f>
        <v>10602</v>
      </c>
      <c r="P61" s="400">
        <f>798+927</f>
        <v>1725</v>
      </c>
      <c r="Q61" s="401">
        <v>0</v>
      </c>
      <c r="R61" s="399"/>
      <c r="S61" s="401"/>
      <c r="T61" s="383">
        <f t="shared" si="5"/>
        <v>0</v>
      </c>
      <c r="U61" s="384">
        <f t="shared" si="6"/>
        <v>0</v>
      </c>
      <c r="V61" s="397"/>
      <c r="W61" s="400">
        <v>0</v>
      </c>
      <c r="X61" s="402"/>
      <c r="Y61" s="401">
        <v>0</v>
      </c>
      <c r="Z61" s="399"/>
      <c r="AA61" s="397"/>
      <c r="AB61" s="397"/>
      <c r="AC61" s="400"/>
      <c r="AD61" s="400"/>
      <c r="AE61" s="403"/>
      <c r="AF61" s="399"/>
      <c r="AG61" s="400"/>
    </row>
    <row r="62" spans="1:33" s="404" customFormat="1" ht="12.75" customHeight="1">
      <c r="A62" s="394" t="s">
        <v>81</v>
      </c>
      <c r="B62" s="395" t="s">
        <v>99</v>
      </c>
      <c r="C62" s="395"/>
      <c r="D62" s="394">
        <v>106795</v>
      </c>
      <c r="E62" s="396">
        <v>10</v>
      </c>
      <c r="F62" s="376">
        <f t="shared" si="3"/>
        <v>27409</v>
      </c>
      <c r="G62" s="377">
        <f t="shared" si="4"/>
        <v>32202</v>
      </c>
      <c r="H62" s="397">
        <v>6607</v>
      </c>
      <c r="I62" s="398">
        <v>7179</v>
      </c>
      <c r="J62" s="397">
        <v>7945</v>
      </c>
      <c r="K62" s="398">
        <v>9939</v>
      </c>
      <c r="L62" s="399">
        <v>9743</v>
      </c>
      <c r="M62" s="397">
        <v>3114</v>
      </c>
      <c r="N62" s="397"/>
      <c r="O62" s="400">
        <f>4424+7186</f>
        <v>11610</v>
      </c>
      <c r="P62" s="400">
        <f>1489+1985</f>
        <v>3474</v>
      </c>
      <c r="Q62" s="401">
        <v>0</v>
      </c>
      <c r="R62" s="399"/>
      <c r="S62" s="401"/>
      <c r="T62" s="383">
        <f t="shared" si="5"/>
        <v>0</v>
      </c>
      <c r="U62" s="384">
        <f t="shared" si="6"/>
        <v>0</v>
      </c>
      <c r="V62" s="397"/>
      <c r="W62" s="400">
        <v>0</v>
      </c>
      <c r="X62" s="402"/>
      <c r="Y62" s="401">
        <v>0</v>
      </c>
      <c r="Z62" s="399"/>
      <c r="AA62" s="397"/>
      <c r="AB62" s="397"/>
      <c r="AC62" s="400"/>
      <c r="AD62" s="400"/>
      <c r="AE62" s="403"/>
      <c r="AF62" s="399"/>
      <c r="AG62" s="400"/>
    </row>
    <row r="63" spans="1:33" s="404" customFormat="1" ht="12.75" customHeight="1">
      <c r="A63" s="394" t="s">
        <v>81</v>
      </c>
      <c r="B63" s="395" t="s">
        <v>100</v>
      </c>
      <c r="C63" s="395"/>
      <c r="D63" s="394">
        <v>106883</v>
      </c>
      <c r="E63" s="396">
        <v>10</v>
      </c>
      <c r="F63" s="376">
        <f t="shared" si="3"/>
        <v>31764</v>
      </c>
      <c r="G63" s="377">
        <f t="shared" si="4"/>
        <v>32115</v>
      </c>
      <c r="H63" s="397">
        <v>19955</v>
      </c>
      <c r="I63" s="398">
        <v>18957</v>
      </c>
      <c r="J63" s="397">
        <v>6150</v>
      </c>
      <c r="K63" s="398">
        <v>6564</v>
      </c>
      <c r="L63" s="399">
        <v>4698</v>
      </c>
      <c r="M63" s="397">
        <v>961</v>
      </c>
      <c r="N63" s="397"/>
      <c r="O63" s="400">
        <f>2612+2761</f>
        <v>5373</v>
      </c>
      <c r="P63" s="400">
        <f>684+537</f>
        <v>1221</v>
      </c>
      <c r="Q63" s="401">
        <v>0</v>
      </c>
      <c r="R63" s="399"/>
      <c r="S63" s="401"/>
      <c r="T63" s="383">
        <f t="shared" si="5"/>
        <v>0</v>
      </c>
      <c r="U63" s="384">
        <f t="shared" si="6"/>
        <v>0</v>
      </c>
      <c r="V63" s="397"/>
      <c r="W63" s="400">
        <v>0</v>
      </c>
      <c r="X63" s="402"/>
      <c r="Y63" s="401">
        <v>0</v>
      </c>
      <c r="Z63" s="399"/>
      <c r="AA63" s="397"/>
      <c r="AB63" s="397"/>
      <c r="AC63" s="400"/>
      <c r="AD63" s="400"/>
      <c r="AE63" s="403"/>
      <c r="AF63" s="399"/>
      <c r="AG63" s="400"/>
    </row>
    <row r="64" spans="1:33" s="404" customFormat="1" ht="12.75" customHeight="1">
      <c r="A64" s="394" t="s">
        <v>81</v>
      </c>
      <c r="B64" s="395" t="s">
        <v>101</v>
      </c>
      <c r="C64" s="395"/>
      <c r="D64" s="394">
        <v>107318</v>
      </c>
      <c r="E64" s="396">
        <v>10</v>
      </c>
      <c r="F64" s="376">
        <f t="shared" si="3"/>
        <v>35042</v>
      </c>
      <c r="G64" s="377">
        <f t="shared" si="4"/>
        <v>43515</v>
      </c>
      <c r="H64" s="397">
        <v>34533</v>
      </c>
      <c r="I64" s="398">
        <v>40723</v>
      </c>
      <c r="J64" s="397" t="s">
        <v>59</v>
      </c>
      <c r="K64" s="398">
        <v>637</v>
      </c>
      <c r="L64" s="399">
        <v>509</v>
      </c>
      <c r="M64" s="397"/>
      <c r="N64" s="397"/>
      <c r="O64" s="400">
        <f>1142+1013</f>
        <v>2155</v>
      </c>
      <c r="P64" s="400"/>
      <c r="Q64" s="401"/>
      <c r="R64" s="399"/>
      <c r="S64" s="401"/>
      <c r="T64" s="383">
        <f t="shared" si="5"/>
        <v>0</v>
      </c>
      <c r="U64" s="384">
        <f t="shared" si="6"/>
        <v>0</v>
      </c>
      <c r="V64" s="397"/>
      <c r="W64" s="400">
        <v>0</v>
      </c>
      <c r="X64" s="402"/>
      <c r="Y64" s="401">
        <v>0</v>
      </c>
      <c r="Z64" s="399"/>
      <c r="AA64" s="397"/>
      <c r="AB64" s="397"/>
      <c r="AC64" s="400"/>
      <c r="AD64" s="400"/>
      <c r="AE64" s="403"/>
      <c r="AF64" s="399"/>
      <c r="AG64" s="400"/>
    </row>
    <row r="65" spans="1:33" s="404" customFormat="1" ht="12.75" customHeight="1">
      <c r="A65" s="394" t="s">
        <v>81</v>
      </c>
      <c r="B65" s="503" t="s">
        <v>102</v>
      </c>
      <c r="C65" s="504" t="s">
        <v>784</v>
      </c>
      <c r="D65" s="394">
        <v>106980</v>
      </c>
      <c r="E65" s="505">
        <v>9</v>
      </c>
      <c r="F65" s="376">
        <f t="shared" si="3"/>
        <v>71397</v>
      </c>
      <c r="G65" s="377">
        <f t="shared" si="4"/>
        <v>86836</v>
      </c>
      <c r="H65" s="397">
        <v>61153</v>
      </c>
      <c r="I65" s="398">
        <v>74118</v>
      </c>
      <c r="J65" s="397">
        <v>3629</v>
      </c>
      <c r="K65" s="398">
        <v>3577</v>
      </c>
      <c r="L65" s="399">
        <v>6615</v>
      </c>
      <c r="M65" s="397"/>
      <c r="N65" s="397"/>
      <c r="O65" s="400">
        <v>3980</v>
      </c>
      <c r="P65" s="400">
        <v>5161</v>
      </c>
      <c r="Q65" s="401"/>
      <c r="R65" s="399"/>
      <c r="S65" s="401"/>
      <c r="T65" s="383">
        <f t="shared" si="5"/>
        <v>0</v>
      </c>
      <c r="U65" s="384">
        <f t="shared" si="6"/>
        <v>0</v>
      </c>
      <c r="V65" s="397"/>
      <c r="W65" s="400">
        <v>0</v>
      </c>
      <c r="X65" s="402"/>
      <c r="Y65" s="401">
        <v>0</v>
      </c>
      <c r="Z65" s="399"/>
      <c r="AA65" s="397"/>
      <c r="AB65" s="397"/>
      <c r="AC65" s="400"/>
      <c r="AD65" s="400"/>
      <c r="AE65" s="403"/>
      <c r="AF65" s="399"/>
      <c r="AG65" s="400"/>
    </row>
    <row r="66" spans="1:33" s="404" customFormat="1" ht="12.75" customHeight="1">
      <c r="A66" s="394" t="s">
        <v>81</v>
      </c>
      <c r="B66" s="395" t="s">
        <v>103</v>
      </c>
      <c r="C66" s="395"/>
      <c r="D66" s="394">
        <v>107460</v>
      </c>
      <c r="E66" s="396">
        <v>10</v>
      </c>
      <c r="F66" s="376">
        <f t="shared" si="3"/>
        <v>53370</v>
      </c>
      <c r="G66" s="377">
        <f t="shared" si="4"/>
        <v>56913</v>
      </c>
      <c r="H66" s="397">
        <v>46711</v>
      </c>
      <c r="I66" s="398">
        <v>50019</v>
      </c>
      <c r="J66" s="397">
        <v>2412</v>
      </c>
      <c r="K66" s="398">
        <v>2457</v>
      </c>
      <c r="L66" s="399">
        <v>4247</v>
      </c>
      <c r="M66" s="397"/>
      <c r="N66" s="397"/>
      <c r="O66" s="400">
        <f>1809+2628</f>
        <v>4437</v>
      </c>
      <c r="P66" s="400"/>
      <c r="Q66" s="401"/>
      <c r="R66" s="399"/>
      <c r="S66" s="401"/>
      <c r="T66" s="383">
        <f t="shared" si="5"/>
        <v>0</v>
      </c>
      <c r="U66" s="384">
        <f t="shared" si="6"/>
        <v>0</v>
      </c>
      <c r="V66" s="397"/>
      <c r="W66" s="400">
        <v>0</v>
      </c>
      <c r="X66" s="402"/>
      <c r="Y66" s="401">
        <v>0</v>
      </c>
      <c r="Z66" s="399"/>
      <c r="AA66" s="397"/>
      <c r="AB66" s="397"/>
      <c r="AC66" s="400"/>
      <c r="AD66" s="400"/>
      <c r="AE66" s="403"/>
      <c r="AF66" s="399"/>
      <c r="AG66" s="400"/>
    </row>
    <row r="67" spans="1:33" s="404" customFormat="1" ht="12.75" customHeight="1">
      <c r="A67" s="394" t="s">
        <v>81</v>
      </c>
      <c r="B67" s="395" t="s">
        <v>104</v>
      </c>
      <c r="C67" s="395"/>
      <c r="D67" s="394">
        <v>107521</v>
      </c>
      <c r="E67" s="396">
        <v>10</v>
      </c>
      <c r="F67" s="376">
        <f t="shared" si="3"/>
        <v>28519</v>
      </c>
      <c r="G67" s="377">
        <f t="shared" si="4"/>
        <v>28831</v>
      </c>
      <c r="H67" s="397">
        <v>20362</v>
      </c>
      <c r="I67" s="398">
        <v>21647</v>
      </c>
      <c r="J67" s="397">
        <v>2514</v>
      </c>
      <c r="K67" s="398">
        <v>2228</v>
      </c>
      <c r="L67" s="399">
        <v>5499</v>
      </c>
      <c r="M67" s="397">
        <v>144</v>
      </c>
      <c r="N67" s="397"/>
      <c r="O67" s="400">
        <f>1839+1832</f>
        <v>3671</v>
      </c>
      <c r="P67" s="400">
        <f>75+1210</f>
        <v>1285</v>
      </c>
      <c r="Q67" s="401"/>
      <c r="R67" s="399"/>
      <c r="S67" s="401"/>
      <c r="T67" s="383">
        <f t="shared" si="5"/>
        <v>0</v>
      </c>
      <c r="U67" s="384">
        <f t="shared" si="6"/>
        <v>0</v>
      </c>
      <c r="V67" s="397"/>
      <c r="W67" s="400">
        <v>0</v>
      </c>
      <c r="X67" s="402"/>
      <c r="Y67" s="401">
        <v>0</v>
      </c>
      <c r="Z67" s="399"/>
      <c r="AA67" s="397"/>
      <c r="AB67" s="397"/>
      <c r="AC67" s="400"/>
      <c r="AD67" s="400"/>
      <c r="AE67" s="403"/>
      <c r="AF67" s="399"/>
      <c r="AG67" s="400"/>
    </row>
    <row r="68" spans="1:33" s="404" customFormat="1" ht="12.75" customHeight="1">
      <c r="A68" s="394" t="s">
        <v>81</v>
      </c>
      <c r="B68" s="395" t="s">
        <v>105</v>
      </c>
      <c r="C68" s="395"/>
      <c r="D68" s="394">
        <v>107549</v>
      </c>
      <c r="E68" s="396">
        <v>10</v>
      </c>
      <c r="F68" s="376">
        <f t="shared" si="3"/>
        <v>28729</v>
      </c>
      <c r="G68" s="377">
        <f t="shared" si="4"/>
        <v>33890</v>
      </c>
      <c r="H68" s="397">
        <v>18811</v>
      </c>
      <c r="I68" s="398">
        <v>21744</v>
      </c>
      <c r="J68" s="397">
        <v>1218</v>
      </c>
      <c r="K68" s="398">
        <v>1824</v>
      </c>
      <c r="L68" s="399">
        <v>6365</v>
      </c>
      <c r="M68" s="397">
        <v>2335</v>
      </c>
      <c r="N68" s="397"/>
      <c r="O68" s="400">
        <f>4379+3884</f>
        <v>8263</v>
      </c>
      <c r="P68" s="400">
        <f>874+1185</f>
        <v>2059</v>
      </c>
      <c r="Q68" s="401"/>
      <c r="R68" s="399"/>
      <c r="S68" s="401"/>
      <c r="T68" s="383">
        <f t="shared" si="5"/>
        <v>0</v>
      </c>
      <c r="U68" s="384">
        <f t="shared" si="6"/>
        <v>0</v>
      </c>
      <c r="V68" s="397"/>
      <c r="W68" s="400">
        <v>0</v>
      </c>
      <c r="X68" s="402"/>
      <c r="Y68" s="401">
        <v>0</v>
      </c>
      <c r="Z68" s="399"/>
      <c r="AA68" s="397"/>
      <c r="AB68" s="397"/>
      <c r="AC68" s="400"/>
      <c r="AD68" s="400"/>
      <c r="AE68" s="403"/>
      <c r="AF68" s="399"/>
      <c r="AG68" s="400"/>
    </row>
    <row r="69" spans="1:33" s="404" customFormat="1" ht="12.75" customHeight="1">
      <c r="A69" s="394" t="s">
        <v>81</v>
      </c>
      <c r="B69" s="395" t="s">
        <v>106</v>
      </c>
      <c r="C69" s="395"/>
      <c r="D69" s="394">
        <v>107619</v>
      </c>
      <c r="E69" s="396">
        <v>10</v>
      </c>
      <c r="F69" s="376">
        <f t="shared" si="3"/>
        <v>40915</v>
      </c>
      <c r="G69" s="377">
        <f t="shared" si="4"/>
        <v>41430</v>
      </c>
      <c r="H69" s="397">
        <v>33242</v>
      </c>
      <c r="I69" s="398">
        <v>36982</v>
      </c>
      <c r="J69" s="397">
        <v>3612</v>
      </c>
      <c r="K69" s="398">
        <v>0</v>
      </c>
      <c r="L69" s="399">
        <v>2709</v>
      </c>
      <c r="M69" s="397">
        <v>1352</v>
      </c>
      <c r="N69" s="397"/>
      <c r="O69" s="400">
        <f>973+1959</f>
        <v>2932</v>
      </c>
      <c r="P69" s="400">
        <f>692+736</f>
        <v>1428</v>
      </c>
      <c r="Q69" s="401">
        <v>88</v>
      </c>
      <c r="R69" s="399"/>
      <c r="S69" s="401"/>
      <c r="T69" s="383">
        <f t="shared" si="5"/>
        <v>0</v>
      </c>
      <c r="U69" s="384">
        <f t="shared" si="6"/>
        <v>0</v>
      </c>
      <c r="V69" s="397"/>
      <c r="W69" s="400">
        <v>0</v>
      </c>
      <c r="X69" s="402"/>
      <c r="Y69" s="401">
        <v>0</v>
      </c>
      <c r="Z69" s="399"/>
      <c r="AA69" s="397"/>
      <c r="AB69" s="397"/>
      <c r="AC69" s="400"/>
      <c r="AD69" s="400"/>
      <c r="AE69" s="403"/>
      <c r="AF69" s="399"/>
      <c r="AG69" s="400"/>
    </row>
    <row r="70" spans="1:33" s="404" customFormat="1" ht="12.75" customHeight="1">
      <c r="A70" s="394" t="s">
        <v>81</v>
      </c>
      <c r="B70" s="395" t="s">
        <v>107</v>
      </c>
      <c r="C70" s="395"/>
      <c r="D70" s="394">
        <v>107743</v>
      </c>
      <c r="E70" s="396">
        <v>10</v>
      </c>
      <c r="F70" s="376">
        <f t="shared" si="3"/>
        <v>19075</v>
      </c>
      <c r="G70" s="377">
        <f t="shared" si="4"/>
        <v>20112</v>
      </c>
      <c r="H70" s="397">
        <v>13693</v>
      </c>
      <c r="I70" s="398">
        <v>13667</v>
      </c>
      <c r="J70" s="397">
        <v>4821</v>
      </c>
      <c r="K70" s="398">
        <v>4577</v>
      </c>
      <c r="L70" s="399">
        <v>0</v>
      </c>
      <c r="M70" s="397">
        <v>561</v>
      </c>
      <c r="N70" s="397"/>
      <c r="O70" s="400">
        <f>1478+0</f>
        <v>1478</v>
      </c>
      <c r="P70" s="400">
        <v>126</v>
      </c>
      <c r="Q70" s="401">
        <v>264</v>
      </c>
      <c r="R70" s="399"/>
      <c r="S70" s="401"/>
      <c r="T70" s="383">
        <f t="shared" si="5"/>
        <v>0</v>
      </c>
      <c r="U70" s="384">
        <f t="shared" si="6"/>
        <v>0</v>
      </c>
      <c r="V70" s="397"/>
      <c r="W70" s="400">
        <v>0</v>
      </c>
      <c r="X70" s="402"/>
      <c r="Y70" s="401">
        <v>0</v>
      </c>
      <c r="Z70" s="399"/>
      <c r="AA70" s="397"/>
      <c r="AB70" s="397"/>
      <c r="AC70" s="400"/>
      <c r="AD70" s="400"/>
      <c r="AE70" s="403"/>
      <c r="AF70" s="399"/>
      <c r="AG70" s="400"/>
    </row>
    <row r="71" spans="1:33" s="404" customFormat="1" ht="12.75" customHeight="1">
      <c r="A71" s="394" t="s">
        <v>81</v>
      </c>
      <c r="B71" s="395" t="s">
        <v>108</v>
      </c>
      <c r="C71" s="395"/>
      <c r="D71" s="394">
        <v>107974</v>
      </c>
      <c r="E71" s="396">
        <v>10</v>
      </c>
      <c r="F71" s="376">
        <f t="shared" ref="F71:F135" si="7">SUM(H71,J71,L71,M71,N71,R71)</f>
        <v>37833</v>
      </c>
      <c r="G71" s="377">
        <f t="shared" ref="G71:G135" si="8">SUM(I71,K71,O71,P71,Q71,S71)</f>
        <v>40831</v>
      </c>
      <c r="H71" s="397">
        <v>30962</v>
      </c>
      <c r="I71" s="398">
        <v>33339</v>
      </c>
      <c r="J71" s="397">
        <v>1303</v>
      </c>
      <c r="K71" s="398">
        <v>180</v>
      </c>
      <c r="L71" s="399">
        <v>5468</v>
      </c>
      <c r="M71" s="397"/>
      <c r="N71" s="397"/>
      <c r="O71" s="400">
        <f>4149+3163</f>
        <v>7312</v>
      </c>
      <c r="P71" s="400"/>
      <c r="Q71" s="401"/>
      <c r="R71" s="399">
        <v>100</v>
      </c>
      <c r="S71" s="401"/>
      <c r="T71" s="383">
        <f t="shared" ref="T71:T135" si="9">SUM(V71,X71,Z71,AA71,AB71,AF71)</f>
        <v>0</v>
      </c>
      <c r="U71" s="384">
        <f t="shared" ref="U71:U135" si="10">SUM(W71,Y71,AC71,AD71,AE71,AG71)</f>
        <v>0</v>
      </c>
      <c r="V71" s="397"/>
      <c r="W71" s="400">
        <v>0</v>
      </c>
      <c r="X71" s="402"/>
      <c r="Y71" s="401">
        <v>0</v>
      </c>
      <c r="Z71" s="399"/>
      <c r="AA71" s="397"/>
      <c r="AB71" s="397"/>
      <c r="AC71" s="400"/>
      <c r="AD71" s="400"/>
      <c r="AE71" s="403"/>
      <c r="AF71" s="399"/>
      <c r="AG71" s="400"/>
    </row>
    <row r="72" spans="1:33" s="404" customFormat="1" ht="12.75" customHeight="1">
      <c r="A72" s="394" t="s">
        <v>81</v>
      </c>
      <c r="B72" s="395" t="s">
        <v>109</v>
      </c>
      <c r="C72" s="395"/>
      <c r="D72" s="394">
        <v>107637</v>
      </c>
      <c r="E72" s="396">
        <v>10</v>
      </c>
      <c r="F72" s="376">
        <f t="shared" si="7"/>
        <v>46305</v>
      </c>
      <c r="G72" s="377">
        <f t="shared" si="8"/>
        <v>49137</v>
      </c>
      <c r="H72" s="397">
        <v>40418</v>
      </c>
      <c r="I72" s="398">
        <v>42484</v>
      </c>
      <c r="J72" s="397">
        <v>3169</v>
      </c>
      <c r="K72" s="398">
        <v>2381</v>
      </c>
      <c r="L72" s="399">
        <v>2718</v>
      </c>
      <c r="M72" s="397"/>
      <c r="N72" s="397"/>
      <c r="O72" s="400">
        <f>2680+1592</f>
        <v>4272</v>
      </c>
      <c r="P72" s="400"/>
      <c r="Q72" s="401"/>
      <c r="R72" s="399"/>
      <c r="S72" s="401"/>
      <c r="T72" s="383">
        <f t="shared" si="9"/>
        <v>0</v>
      </c>
      <c r="U72" s="384">
        <f t="shared" si="10"/>
        <v>0</v>
      </c>
      <c r="V72" s="397"/>
      <c r="W72" s="400">
        <v>0</v>
      </c>
      <c r="X72" s="402"/>
      <c r="Y72" s="401">
        <v>0</v>
      </c>
      <c r="Z72" s="399"/>
      <c r="AA72" s="397"/>
      <c r="AB72" s="397"/>
      <c r="AC72" s="400"/>
      <c r="AD72" s="400"/>
      <c r="AE72" s="403"/>
      <c r="AF72" s="399"/>
      <c r="AG72" s="400"/>
    </row>
    <row r="73" spans="1:33" s="404" customFormat="1" ht="12.75" customHeight="1">
      <c r="A73" s="394" t="s">
        <v>81</v>
      </c>
      <c r="B73" s="395" t="s">
        <v>110</v>
      </c>
      <c r="C73" s="395"/>
      <c r="D73" s="394">
        <v>107992</v>
      </c>
      <c r="E73" s="396">
        <v>10</v>
      </c>
      <c r="F73" s="376">
        <f t="shared" si="7"/>
        <v>41625</v>
      </c>
      <c r="G73" s="377">
        <f t="shared" si="8"/>
        <v>39285</v>
      </c>
      <c r="H73" s="397">
        <v>17056</v>
      </c>
      <c r="I73" s="398">
        <v>17445</v>
      </c>
      <c r="J73" s="397">
        <v>15604</v>
      </c>
      <c r="K73" s="398">
        <v>11619</v>
      </c>
      <c r="L73" s="399">
        <v>0</v>
      </c>
      <c r="M73" s="397"/>
      <c r="N73" s="397">
        <v>8965</v>
      </c>
      <c r="O73" s="400"/>
      <c r="P73" s="400">
        <f>5844+4377</f>
        <v>10221</v>
      </c>
      <c r="Q73" s="401"/>
      <c r="R73" s="399"/>
      <c r="S73" s="401"/>
      <c r="T73" s="383">
        <f t="shared" si="9"/>
        <v>0</v>
      </c>
      <c r="U73" s="384">
        <f t="shared" si="10"/>
        <v>0</v>
      </c>
      <c r="V73" s="397"/>
      <c r="W73" s="400">
        <v>0</v>
      </c>
      <c r="X73" s="402"/>
      <c r="Y73" s="401">
        <v>0</v>
      </c>
      <c r="Z73" s="399"/>
      <c r="AA73" s="397"/>
      <c r="AB73" s="397"/>
      <c r="AC73" s="400"/>
      <c r="AD73" s="400"/>
      <c r="AE73" s="403"/>
      <c r="AF73" s="399"/>
      <c r="AG73" s="400"/>
    </row>
    <row r="74" spans="1:33" s="404" customFormat="1" ht="12.75" customHeight="1">
      <c r="A74" s="394" t="s">
        <v>81</v>
      </c>
      <c r="B74" s="395" t="s">
        <v>111</v>
      </c>
      <c r="C74" s="395"/>
      <c r="D74" s="394">
        <v>106999</v>
      </c>
      <c r="E74" s="396">
        <v>10</v>
      </c>
      <c r="F74" s="376">
        <f t="shared" si="7"/>
        <v>39712</v>
      </c>
      <c r="G74" s="377">
        <f t="shared" si="8"/>
        <v>41477</v>
      </c>
      <c r="H74" s="397">
        <v>33017</v>
      </c>
      <c r="I74" s="398">
        <v>34434</v>
      </c>
      <c r="J74" s="397">
        <v>438</v>
      </c>
      <c r="K74" s="398">
        <v>534</v>
      </c>
      <c r="L74" s="399">
        <v>6257</v>
      </c>
      <c r="M74" s="397"/>
      <c r="N74" s="397"/>
      <c r="O74" s="400">
        <f>3864+2645</f>
        <v>6509</v>
      </c>
      <c r="P74" s="400"/>
      <c r="Q74" s="401"/>
      <c r="R74" s="399"/>
      <c r="S74" s="401"/>
      <c r="T74" s="383">
        <f t="shared" si="9"/>
        <v>0</v>
      </c>
      <c r="U74" s="384">
        <f t="shared" si="10"/>
        <v>0</v>
      </c>
      <c r="V74" s="397"/>
      <c r="W74" s="400">
        <v>0</v>
      </c>
      <c r="X74" s="402"/>
      <c r="Y74" s="401">
        <v>0</v>
      </c>
      <c r="Z74" s="399"/>
      <c r="AA74" s="397"/>
      <c r="AB74" s="397"/>
      <c r="AC74" s="400"/>
      <c r="AD74" s="400"/>
      <c r="AE74" s="403"/>
      <c r="AF74" s="399"/>
      <c r="AG74" s="400"/>
    </row>
    <row r="75" spans="1:33" s="404" customFormat="1" ht="12.75" customHeight="1">
      <c r="A75" s="394" t="s">
        <v>81</v>
      </c>
      <c r="B75" s="395" t="s">
        <v>112</v>
      </c>
      <c r="C75" s="395"/>
      <c r="D75" s="394">
        <v>107725</v>
      </c>
      <c r="E75" s="396">
        <v>10</v>
      </c>
      <c r="F75" s="376">
        <f t="shared" si="7"/>
        <v>31739</v>
      </c>
      <c r="G75" s="377">
        <f t="shared" si="8"/>
        <v>34577</v>
      </c>
      <c r="H75" s="397">
        <v>31724</v>
      </c>
      <c r="I75" s="398">
        <v>34556</v>
      </c>
      <c r="J75" s="397">
        <v>0</v>
      </c>
      <c r="K75" s="398">
        <v>0</v>
      </c>
      <c r="L75" s="399">
        <v>6</v>
      </c>
      <c r="M75" s="397"/>
      <c r="N75" s="397">
        <v>9</v>
      </c>
      <c r="O75" s="400">
        <v>3</v>
      </c>
      <c r="P75" s="400">
        <v>18</v>
      </c>
      <c r="Q75" s="401"/>
      <c r="R75" s="399"/>
      <c r="S75" s="401"/>
      <c r="T75" s="383">
        <f t="shared" si="9"/>
        <v>0</v>
      </c>
      <c r="U75" s="384">
        <f t="shared" si="10"/>
        <v>0</v>
      </c>
      <c r="V75" s="397"/>
      <c r="W75" s="400">
        <v>0</v>
      </c>
      <c r="X75" s="402"/>
      <c r="Y75" s="401">
        <v>0</v>
      </c>
      <c r="Z75" s="399"/>
      <c r="AA75" s="397"/>
      <c r="AB75" s="397"/>
      <c r="AC75" s="400"/>
      <c r="AD75" s="400"/>
      <c r="AE75" s="403"/>
      <c r="AF75" s="399"/>
      <c r="AG75" s="400"/>
    </row>
    <row r="76" spans="1:33" s="404" customFormat="1" ht="12.75" customHeight="1">
      <c r="A76" s="394" t="s">
        <v>81</v>
      </c>
      <c r="B76" s="395" t="s">
        <v>113</v>
      </c>
      <c r="C76" s="395"/>
      <c r="D76" s="394">
        <v>107585</v>
      </c>
      <c r="E76" s="396">
        <v>10</v>
      </c>
      <c r="F76" s="376">
        <f t="shared" si="7"/>
        <v>52479</v>
      </c>
      <c r="G76" s="377">
        <f t="shared" si="8"/>
        <v>58656</v>
      </c>
      <c r="H76" s="397">
        <v>50055</v>
      </c>
      <c r="I76" s="398">
        <v>56063</v>
      </c>
      <c r="J76" s="397">
        <v>72</v>
      </c>
      <c r="K76" s="398">
        <v>0</v>
      </c>
      <c r="L76" s="399">
        <v>2352</v>
      </c>
      <c r="M76" s="397"/>
      <c r="N76" s="397"/>
      <c r="O76" s="400">
        <f>1540+1053</f>
        <v>2593</v>
      </c>
      <c r="P76" s="400"/>
      <c r="Q76" s="401"/>
      <c r="R76" s="399"/>
      <c r="S76" s="401"/>
      <c r="T76" s="383">
        <f t="shared" si="9"/>
        <v>0</v>
      </c>
      <c r="U76" s="384">
        <f t="shared" si="10"/>
        <v>0</v>
      </c>
      <c r="V76" s="397"/>
      <c r="W76" s="400">
        <v>0</v>
      </c>
      <c r="X76" s="402"/>
      <c r="Y76" s="401">
        <v>0</v>
      </c>
      <c r="Z76" s="399"/>
      <c r="AA76" s="397"/>
      <c r="AB76" s="397"/>
      <c r="AC76" s="400"/>
      <c r="AD76" s="400"/>
      <c r="AE76" s="403"/>
      <c r="AF76" s="399"/>
      <c r="AG76" s="400"/>
    </row>
    <row r="77" spans="1:33" s="623" customFormat="1" ht="12.75" customHeight="1">
      <c r="A77" s="609" t="s">
        <v>114</v>
      </c>
      <c r="B77" s="610" t="s">
        <v>1033</v>
      </c>
      <c r="C77" s="610"/>
      <c r="D77" s="609"/>
      <c r="E77" s="611">
        <v>1</v>
      </c>
      <c r="F77" s="612"/>
      <c r="G77" s="613"/>
      <c r="H77" s="614"/>
      <c r="I77" s="615"/>
      <c r="J77" s="614"/>
      <c r="K77" s="615"/>
      <c r="L77" s="616"/>
      <c r="M77" s="614"/>
      <c r="N77" s="614"/>
      <c r="O77" s="617"/>
      <c r="P77" s="617"/>
      <c r="Q77" s="618"/>
      <c r="R77" s="616"/>
      <c r="S77" s="618"/>
      <c r="T77" s="619"/>
      <c r="U77" s="620"/>
      <c r="V77" s="614"/>
      <c r="W77" s="617"/>
      <c r="X77" s="621"/>
      <c r="Y77" s="618"/>
      <c r="Z77" s="616"/>
      <c r="AA77" s="614"/>
      <c r="AB77" s="614"/>
      <c r="AC77" s="617"/>
      <c r="AD77" s="617"/>
      <c r="AE77" s="622"/>
      <c r="AF77" s="616"/>
      <c r="AG77" s="617"/>
    </row>
    <row r="78" spans="1:33" s="404" customFormat="1" ht="12.75" customHeight="1">
      <c r="A78" s="408" t="s">
        <v>115</v>
      </c>
      <c r="B78" s="409" t="s">
        <v>116</v>
      </c>
      <c r="C78" s="409"/>
      <c r="D78" s="408">
        <v>133951</v>
      </c>
      <c r="E78" s="410">
        <v>1</v>
      </c>
      <c r="F78" s="376">
        <f t="shared" si="7"/>
        <v>827508</v>
      </c>
      <c r="G78" s="377">
        <f t="shared" si="8"/>
        <v>897265</v>
      </c>
      <c r="H78" s="411">
        <v>536235</v>
      </c>
      <c r="I78" s="412">
        <v>591080</v>
      </c>
      <c r="J78" s="411">
        <v>141223</v>
      </c>
      <c r="K78" s="413">
        <v>154504</v>
      </c>
      <c r="L78" s="414">
        <v>148555</v>
      </c>
      <c r="M78" s="411">
        <v>522</v>
      </c>
      <c r="N78" s="411">
        <v>973</v>
      </c>
      <c r="O78" s="412">
        <v>150251</v>
      </c>
      <c r="P78" s="412"/>
      <c r="Q78" s="413">
        <v>1430</v>
      </c>
      <c r="R78" s="414"/>
      <c r="S78" s="413"/>
      <c r="T78" s="383">
        <f t="shared" si="9"/>
        <v>158978</v>
      </c>
      <c r="U78" s="384">
        <f t="shared" si="10"/>
        <v>174422</v>
      </c>
      <c r="V78" s="411">
        <v>115092</v>
      </c>
      <c r="W78" s="412">
        <v>120310</v>
      </c>
      <c r="X78" s="415">
        <v>28290</v>
      </c>
      <c r="Y78" s="413">
        <v>34619</v>
      </c>
      <c r="Z78" s="414">
        <v>15206</v>
      </c>
      <c r="AA78" s="411"/>
      <c r="AB78" s="411">
        <v>390</v>
      </c>
      <c r="AC78" s="412">
        <v>18941</v>
      </c>
      <c r="AD78" s="412"/>
      <c r="AE78" s="416">
        <v>552</v>
      </c>
      <c r="AF78" s="414"/>
      <c r="AG78" s="412"/>
    </row>
    <row r="79" spans="1:33" s="404" customFormat="1" ht="12.75" customHeight="1">
      <c r="A79" s="408" t="s">
        <v>115</v>
      </c>
      <c r="B79" s="409" t="s">
        <v>117</v>
      </c>
      <c r="C79" s="409"/>
      <c r="D79" s="408">
        <v>134097</v>
      </c>
      <c r="E79" s="410">
        <v>1</v>
      </c>
      <c r="F79" s="376">
        <f t="shared" si="7"/>
        <v>950946</v>
      </c>
      <c r="G79" s="377">
        <f t="shared" si="8"/>
        <v>972297</v>
      </c>
      <c r="H79" s="411">
        <v>816647</v>
      </c>
      <c r="I79" s="412">
        <v>827082</v>
      </c>
      <c r="J79" s="411">
        <v>58803</v>
      </c>
      <c r="K79" s="413">
        <v>64350</v>
      </c>
      <c r="L79" s="414">
        <v>27083</v>
      </c>
      <c r="M79" s="411"/>
      <c r="N79" s="411">
        <v>48413</v>
      </c>
      <c r="O79" s="412">
        <v>31723</v>
      </c>
      <c r="P79" s="412"/>
      <c r="Q79" s="413">
        <v>49142</v>
      </c>
      <c r="R79" s="414"/>
      <c r="S79" s="413"/>
      <c r="T79" s="383">
        <f t="shared" si="9"/>
        <v>185887</v>
      </c>
      <c r="U79" s="384">
        <f t="shared" si="10"/>
        <v>184136</v>
      </c>
      <c r="V79" s="411">
        <v>148552</v>
      </c>
      <c r="W79" s="412">
        <v>147674</v>
      </c>
      <c r="X79" s="415">
        <v>11754</v>
      </c>
      <c r="Y79" s="413">
        <v>9717</v>
      </c>
      <c r="Z79" s="414">
        <v>24996</v>
      </c>
      <c r="AA79" s="411">
        <v>30</v>
      </c>
      <c r="AB79" s="411">
        <v>555</v>
      </c>
      <c r="AC79" s="412">
        <v>25533</v>
      </c>
      <c r="AD79" s="412"/>
      <c r="AE79" s="416">
        <v>1212</v>
      </c>
      <c r="AF79" s="414"/>
      <c r="AG79" s="412"/>
    </row>
    <row r="80" spans="1:33" s="404" customFormat="1" ht="12.75" customHeight="1">
      <c r="A80" s="408" t="s">
        <v>115</v>
      </c>
      <c r="B80" s="409" t="s">
        <v>118</v>
      </c>
      <c r="C80" s="409"/>
      <c r="D80" s="408">
        <v>132903</v>
      </c>
      <c r="E80" s="410">
        <v>1</v>
      </c>
      <c r="F80" s="376">
        <f t="shared" si="7"/>
        <v>1210656</v>
      </c>
      <c r="G80" s="377">
        <f t="shared" si="8"/>
        <v>1281797</v>
      </c>
      <c r="H80" s="411">
        <v>821150</v>
      </c>
      <c r="I80" s="412">
        <v>854188</v>
      </c>
      <c r="J80" s="411">
        <v>102204</v>
      </c>
      <c r="K80" s="413">
        <v>99536</v>
      </c>
      <c r="L80" s="414">
        <v>212795</v>
      </c>
      <c r="M80" s="411">
        <v>56992</v>
      </c>
      <c r="N80" s="411">
        <v>17515</v>
      </c>
      <c r="O80" s="412">
        <v>319467</v>
      </c>
      <c r="P80" s="412">
        <v>1758</v>
      </c>
      <c r="Q80" s="413">
        <v>6848</v>
      </c>
      <c r="R80" s="414"/>
      <c r="S80" s="413"/>
      <c r="T80" s="383">
        <f t="shared" si="9"/>
        <v>129243.3</v>
      </c>
      <c r="U80" s="384">
        <f t="shared" si="10"/>
        <v>140449</v>
      </c>
      <c r="V80" s="411">
        <v>76908.800000000003</v>
      </c>
      <c r="W80" s="412">
        <v>76050</v>
      </c>
      <c r="X80" s="415">
        <v>12449.5</v>
      </c>
      <c r="Y80" s="413">
        <v>12844</v>
      </c>
      <c r="Z80" s="414">
        <v>36336</v>
      </c>
      <c r="AA80" s="411">
        <v>69</v>
      </c>
      <c r="AB80" s="411">
        <v>3480</v>
      </c>
      <c r="AC80" s="412">
        <v>49893</v>
      </c>
      <c r="AD80" s="412">
        <v>156</v>
      </c>
      <c r="AE80" s="416">
        <v>1506</v>
      </c>
      <c r="AF80" s="414"/>
      <c r="AG80" s="412"/>
    </row>
    <row r="81" spans="1:33" s="404" customFormat="1" ht="12.75" customHeight="1">
      <c r="A81" s="408" t="s">
        <v>115</v>
      </c>
      <c r="B81" s="409" t="s">
        <v>119</v>
      </c>
      <c r="C81" s="409"/>
      <c r="D81" s="408">
        <v>134130</v>
      </c>
      <c r="E81" s="410">
        <v>1</v>
      </c>
      <c r="F81" s="376">
        <f t="shared" si="7"/>
        <v>1021008</v>
      </c>
      <c r="G81" s="377">
        <f t="shared" si="8"/>
        <v>983555</v>
      </c>
      <c r="H81" s="411">
        <v>787004</v>
      </c>
      <c r="I81" s="412">
        <v>749194</v>
      </c>
      <c r="J81" s="411"/>
      <c r="K81" s="413"/>
      <c r="L81" s="414">
        <v>59736</v>
      </c>
      <c r="M81" s="411">
        <v>338</v>
      </c>
      <c r="N81" s="411">
        <v>166889</v>
      </c>
      <c r="O81" s="412">
        <v>126058</v>
      </c>
      <c r="P81" s="412">
        <v>346</v>
      </c>
      <c r="Q81" s="413">
        <v>101235</v>
      </c>
      <c r="R81" s="414">
        <v>7041</v>
      </c>
      <c r="S81" s="413">
        <v>6722</v>
      </c>
      <c r="T81" s="383">
        <f t="shared" si="9"/>
        <v>357375</v>
      </c>
      <c r="U81" s="384">
        <f t="shared" si="10"/>
        <v>357500</v>
      </c>
      <c r="V81" s="411">
        <v>289789</v>
      </c>
      <c r="W81" s="412">
        <v>265398</v>
      </c>
      <c r="X81" s="415"/>
      <c r="Y81" s="413">
        <v>30</v>
      </c>
      <c r="Z81" s="414">
        <v>40219</v>
      </c>
      <c r="AA81" s="411">
        <v>1621</v>
      </c>
      <c r="AB81" s="411">
        <v>25743</v>
      </c>
      <c r="AC81" s="412">
        <v>47167</v>
      </c>
      <c r="AD81" s="412">
        <v>505</v>
      </c>
      <c r="AE81" s="416">
        <v>44283</v>
      </c>
      <c r="AF81" s="414">
        <v>3</v>
      </c>
      <c r="AG81" s="412">
        <v>117</v>
      </c>
    </row>
    <row r="82" spans="1:33" s="404" customFormat="1" ht="12.75" customHeight="1">
      <c r="A82" s="408" t="s">
        <v>115</v>
      </c>
      <c r="B82" s="409" t="s">
        <v>120</v>
      </c>
      <c r="C82" s="409"/>
      <c r="D82" s="408">
        <v>137351</v>
      </c>
      <c r="E82" s="410">
        <v>1</v>
      </c>
      <c r="F82" s="376">
        <f t="shared" si="7"/>
        <v>984652</v>
      </c>
      <c r="G82" s="377">
        <f t="shared" si="8"/>
        <v>1011653</v>
      </c>
      <c r="H82" s="411">
        <v>650197</v>
      </c>
      <c r="I82" s="412">
        <v>676590</v>
      </c>
      <c r="J82" s="411">
        <v>127964</v>
      </c>
      <c r="K82" s="413">
        <v>123581</v>
      </c>
      <c r="L82" s="414">
        <v>182471</v>
      </c>
      <c r="M82" s="411">
        <v>2679</v>
      </c>
      <c r="N82" s="411">
        <v>21341</v>
      </c>
      <c r="O82" s="412">
        <v>204478</v>
      </c>
      <c r="P82" s="412">
        <v>337</v>
      </c>
      <c r="Q82" s="413">
        <v>6667</v>
      </c>
      <c r="R82" s="414"/>
      <c r="S82" s="413"/>
      <c r="T82" s="383">
        <f t="shared" si="9"/>
        <v>182477</v>
      </c>
      <c r="U82" s="384">
        <f t="shared" si="10"/>
        <v>188864</v>
      </c>
      <c r="V82" s="411">
        <v>101176</v>
      </c>
      <c r="W82" s="412">
        <v>119238</v>
      </c>
      <c r="X82" s="415">
        <v>40412</v>
      </c>
      <c r="Y82" s="413">
        <v>25920</v>
      </c>
      <c r="Z82" s="414">
        <v>39931</v>
      </c>
      <c r="AA82" s="411">
        <v>195</v>
      </c>
      <c r="AB82" s="411">
        <v>763</v>
      </c>
      <c r="AC82" s="412">
        <v>43673</v>
      </c>
      <c r="AD82" s="412"/>
      <c r="AE82" s="416">
        <v>33</v>
      </c>
      <c r="AF82" s="414"/>
      <c r="AG82" s="412"/>
    </row>
    <row r="83" spans="1:33" s="404" customFormat="1" ht="12.75" customHeight="1">
      <c r="A83" s="408" t="s">
        <v>115</v>
      </c>
      <c r="B83" s="409" t="s">
        <v>121</v>
      </c>
      <c r="C83" s="409"/>
      <c r="D83" s="408">
        <v>133669</v>
      </c>
      <c r="E83" s="410">
        <v>2</v>
      </c>
      <c r="F83" s="376">
        <f t="shared" si="7"/>
        <v>539048</v>
      </c>
      <c r="G83" s="377">
        <f t="shared" si="8"/>
        <v>570235</v>
      </c>
      <c r="H83" s="411">
        <v>391449</v>
      </c>
      <c r="I83" s="412">
        <v>425119</v>
      </c>
      <c r="J83" s="411">
        <v>114564</v>
      </c>
      <c r="K83" s="413">
        <v>108075</v>
      </c>
      <c r="L83" s="414">
        <v>25370</v>
      </c>
      <c r="M83" s="411">
        <v>6636</v>
      </c>
      <c r="N83" s="411">
        <v>1029</v>
      </c>
      <c r="O83" s="412">
        <v>32865</v>
      </c>
      <c r="P83" s="412">
        <v>1870</v>
      </c>
      <c r="Q83" s="413">
        <v>2306</v>
      </c>
      <c r="R83" s="414"/>
      <c r="S83" s="413"/>
      <c r="T83" s="383">
        <f t="shared" si="9"/>
        <v>78594</v>
      </c>
      <c r="U83" s="384">
        <f t="shared" si="10"/>
        <v>80819</v>
      </c>
      <c r="V83" s="411">
        <v>41608</v>
      </c>
      <c r="W83" s="412">
        <v>46326</v>
      </c>
      <c r="X83" s="415">
        <v>17062</v>
      </c>
      <c r="Y83" s="413">
        <v>14834</v>
      </c>
      <c r="Z83" s="414">
        <v>16293</v>
      </c>
      <c r="AA83" s="411">
        <v>2441</v>
      </c>
      <c r="AB83" s="411">
        <v>1190</v>
      </c>
      <c r="AC83" s="412">
        <v>17682</v>
      </c>
      <c r="AD83" s="412">
        <v>789</v>
      </c>
      <c r="AE83" s="416">
        <v>1188</v>
      </c>
      <c r="AF83" s="414"/>
      <c r="AG83" s="412"/>
    </row>
    <row r="84" spans="1:33" s="404" customFormat="1" ht="12.75" customHeight="1">
      <c r="A84" s="408" t="s">
        <v>115</v>
      </c>
      <c r="B84" s="409" t="s">
        <v>122</v>
      </c>
      <c r="C84" s="409"/>
      <c r="D84" s="408">
        <v>133650</v>
      </c>
      <c r="E84" s="410">
        <v>3</v>
      </c>
      <c r="F84" s="376">
        <f t="shared" si="7"/>
        <v>295523</v>
      </c>
      <c r="G84" s="377">
        <f t="shared" si="8"/>
        <v>325761</v>
      </c>
      <c r="H84" s="411">
        <v>291621</v>
      </c>
      <c r="I84" s="412">
        <v>321906</v>
      </c>
      <c r="J84" s="411">
        <v>3514</v>
      </c>
      <c r="K84" s="413">
        <v>3796</v>
      </c>
      <c r="L84" s="414">
        <v>375</v>
      </c>
      <c r="M84" s="411"/>
      <c r="N84" s="411">
        <v>13</v>
      </c>
      <c r="O84" s="412"/>
      <c r="P84" s="412"/>
      <c r="Q84" s="413">
        <v>59</v>
      </c>
      <c r="R84" s="414"/>
      <c r="S84" s="413"/>
      <c r="T84" s="383">
        <f t="shared" si="9"/>
        <v>49355</v>
      </c>
      <c r="U84" s="384">
        <f t="shared" si="10"/>
        <v>49743</v>
      </c>
      <c r="V84" s="411">
        <v>32426</v>
      </c>
      <c r="W84" s="412">
        <v>31978</v>
      </c>
      <c r="X84" s="415">
        <v>16929</v>
      </c>
      <c r="Y84" s="413">
        <v>17765</v>
      </c>
      <c r="Z84" s="414"/>
      <c r="AA84" s="411"/>
      <c r="AB84" s="411"/>
      <c r="AC84" s="412"/>
      <c r="AD84" s="412"/>
      <c r="AE84" s="416"/>
      <c r="AF84" s="414"/>
      <c r="AG84" s="412"/>
    </row>
    <row r="85" spans="1:33" s="404" customFormat="1" ht="12.75" customHeight="1">
      <c r="A85" s="408" t="s">
        <v>115</v>
      </c>
      <c r="B85" s="409" t="s">
        <v>123</v>
      </c>
      <c r="C85" s="409"/>
      <c r="D85" s="408">
        <v>136172</v>
      </c>
      <c r="E85" s="410">
        <v>3</v>
      </c>
      <c r="F85" s="376">
        <f t="shared" si="7"/>
        <v>378168</v>
      </c>
      <c r="G85" s="377">
        <f t="shared" si="8"/>
        <v>379860</v>
      </c>
      <c r="H85" s="411">
        <v>360210</v>
      </c>
      <c r="I85" s="412">
        <v>360615</v>
      </c>
      <c r="J85" s="411">
        <v>5018</v>
      </c>
      <c r="K85" s="413">
        <v>4476</v>
      </c>
      <c r="L85" s="414">
        <v>12940</v>
      </c>
      <c r="M85" s="411"/>
      <c r="N85" s="411"/>
      <c r="O85" s="412">
        <v>14769</v>
      </c>
      <c r="P85" s="412"/>
      <c r="Q85" s="413"/>
      <c r="R85" s="414"/>
      <c r="S85" s="413"/>
      <c r="T85" s="383">
        <f t="shared" si="9"/>
        <v>33151</v>
      </c>
      <c r="U85" s="384">
        <f t="shared" si="10"/>
        <v>33015</v>
      </c>
      <c r="V85" s="411">
        <v>27584</v>
      </c>
      <c r="W85" s="412">
        <v>26686</v>
      </c>
      <c r="X85" s="415">
        <v>2906</v>
      </c>
      <c r="Y85" s="413">
        <v>3236</v>
      </c>
      <c r="Z85" s="414">
        <v>2661</v>
      </c>
      <c r="AA85" s="411"/>
      <c r="AB85" s="411"/>
      <c r="AC85" s="412">
        <v>3093</v>
      </c>
      <c r="AD85" s="412"/>
      <c r="AE85" s="416"/>
      <c r="AF85" s="414"/>
      <c r="AG85" s="412"/>
    </row>
    <row r="86" spans="1:33" s="404" customFormat="1" ht="12.75" customHeight="1">
      <c r="A86" s="408" t="s">
        <v>115</v>
      </c>
      <c r="B86" s="409" t="s">
        <v>124</v>
      </c>
      <c r="C86" s="409"/>
      <c r="D86" s="408">
        <v>138354</v>
      </c>
      <c r="E86" s="410">
        <v>3</v>
      </c>
      <c r="F86" s="376">
        <f t="shared" si="7"/>
        <v>231470</v>
      </c>
      <c r="G86" s="377">
        <f t="shared" si="8"/>
        <v>247942</v>
      </c>
      <c r="H86" s="411">
        <v>145563</v>
      </c>
      <c r="I86" s="412">
        <v>128685</v>
      </c>
      <c r="J86" s="411">
        <v>4490</v>
      </c>
      <c r="K86" s="413">
        <v>3288</v>
      </c>
      <c r="L86" s="414">
        <v>78409</v>
      </c>
      <c r="M86" s="411">
        <v>3008</v>
      </c>
      <c r="N86" s="411"/>
      <c r="O86" s="412">
        <v>108181</v>
      </c>
      <c r="P86" s="412">
        <v>452</v>
      </c>
      <c r="Q86" s="413">
        <v>7336</v>
      </c>
      <c r="R86" s="414"/>
      <c r="S86" s="413"/>
      <c r="T86" s="383">
        <f t="shared" si="9"/>
        <v>29350</v>
      </c>
      <c r="U86" s="384">
        <f t="shared" si="10"/>
        <v>31484</v>
      </c>
      <c r="V86" s="411">
        <v>9600</v>
      </c>
      <c r="W86" s="412">
        <v>7934</v>
      </c>
      <c r="X86" s="415">
        <v>480</v>
      </c>
      <c r="Y86" s="413">
        <v>402</v>
      </c>
      <c r="Z86" s="414">
        <v>19180</v>
      </c>
      <c r="AA86" s="411">
        <v>90</v>
      </c>
      <c r="AB86" s="411"/>
      <c r="AC86" s="412">
        <v>20592</v>
      </c>
      <c r="AD86" s="412">
        <v>231</v>
      </c>
      <c r="AE86" s="416">
        <v>2325</v>
      </c>
      <c r="AF86" s="414"/>
      <c r="AG86" s="412"/>
    </row>
    <row r="87" spans="1:33" s="404" customFormat="1" ht="12.75" customHeight="1">
      <c r="A87" s="408" t="s">
        <v>115</v>
      </c>
      <c r="B87" s="409" t="s">
        <v>125</v>
      </c>
      <c r="C87" s="409"/>
      <c r="D87" s="408">
        <v>433660</v>
      </c>
      <c r="E87" s="410">
        <v>4</v>
      </c>
      <c r="F87" s="376">
        <f t="shared" si="7"/>
        <v>247828</v>
      </c>
      <c r="G87" s="377">
        <f t="shared" si="8"/>
        <v>268823</v>
      </c>
      <c r="H87" s="411">
        <v>197874</v>
      </c>
      <c r="I87" s="412">
        <v>211054</v>
      </c>
      <c r="J87" s="411">
        <v>6603</v>
      </c>
      <c r="K87" s="413">
        <v>5973</v>
      </c>
      <c r="L87" s="414">
        <v>43279</v>
      </c>
      <c r="M87" s="388"/>
      <c r="N87" s="411">
        <v>72</v>
      </c>
      <c r="O87" s="412">
        <v>51796</v>
      </c>
      <c r="P87" s="389"/>
      <c r="Q87" s="413"/>
      <c r="R87" s="414"/>
      <c r="S87" s="413"/>
      <c r="T87" s="383">
        <f t="shared" si="9"/>
        <v>21548</v>
      </c>
      <c r="U87" s="384">
        <f t="shared" si="10"/>
        <v>24078</v>
      </c>
      <c r="V87" s="411">
        <v>11880</v>
      </c>
      <c r="W87" s="412">
        <v>12553</v>
      </c>
      <c r="X87" s="415">
        <v>1021</v>
      </c>
      <c r="Y87" s="413">
        <v>1376</v>
      </c>
      <c r="Z87" s="414">
        <v>8647</v>
      </c>
      <c r="AA87" s="388"/>
      <c r="AB87" s="411"/>
      <c r="AC87" s="412">
        <v>10149</v>
      </c>
      <c r="AD87" s="389"/>
      <c r="AE87" s="416"/>
      <c r="AF87" s="414"/>
      <c r="AG87" s="412"/>
    </row>
    <row r="88" spans="1:33" s="404" customFormat="1" ht="12.75" customHeight="1">
      <c r="A88" s="408" t="s">
        <v>115</v>
      </c>
      <c r="B88" s="409" t="s">
        <v>126</v>
      </c>
      <c r="C88" s="409"/>
      <c r="D88" s="408">
        <v>262129</v>
      </c>
      <c r="E88" s="410">
        <v>6</v>
      </c>
      <c r="F88" s="376">
        <f t="shared" si="7"/>
        <v>27872</v>
      </c>
      <c r="G88" s="377">
        <f t="shared" si="8"/>
        <v>27680</v>
      </c>
      <c r="H88" s="411">
        <v>27872</v>
      </c>
      <c r="I88" s="412">
        <v>27680</v>
      </c>
      <c r="J88" s="411"/>
      <c r="K88" s="413"/>
      <c r="L88" s="381"/>
      <c r="M88" s="388"/>
      <c r="N88" s="388"/>
      <c r="O88" s="389"/>
      <c r="P88" s="389"/>
      <c r="Q88" s="390"/>
      <c r="R88" s="414"/>
      <c r="S88" s="413"/>
      <c r="T88" s="383">
        <f t="shared" si="9"/>
        <v>0</v>
      </c>
      <c r="U88" s="384">
        <f t="shared" si="10"/>
        <v>0</v>
      </c>
      <c r="V88" s="411"/>
      <c r="W88" s="412"/>
      <c r="X88" s="415"/>
      <c r="Y88" s="413"/>
      <c r="Z88" s="381"/>
      <c r="AA88" s="388"/>
      <c r="AB88" s="388"/>
      <c r="AC88" s="389"/>
      <c r="AD88" s="389"/>
      <c r="AE88" s="392"/>
      <c r="AF88" s="414"/>
      <c r="AG88" s="412"/>
    </row>
    <row r="89" spans="1:33" s="404" customFormat="1" ht="12.75" customHeight="1">
      <c r="A89" s="417" t="s">
        <v>115</v>
      </c>
      <c r="B89" s="418" t="s">
        <v>127</v>
      </c>
      <c r="C89" s="418"/>
      <c r="D89" s="417">
        <v>133021</v>
      </c>
      <c r="E89" s="419">
        <v>7</v>
      </c>
      <c r="F89" s="376">
        <f t="shared" si="7"/>
        <v>47216</v>
      </c>
      <c r="G89" s="377">
        <f t="shared" si="8"/>
        <v>46218</v>
      </c>
      <c r="H89" s="388">
        <v>42458</v>
      </c>
      <c r="I89" s="389">
        <v>17236</v>
      </c>
      <c r="J89" s="388">
        <v>1977</v>
      </c>
      <c r="K89" s="390">
        <v>1150</v>
      </c>
      <c r="L89" s="381">
        <v>2044</v>
      </c>
      <c r="M89" s="388">
        <v>0</v>
      </c>
      <c r="N89" s="388">
        <v>0</v>
      </c>
      <c r="O89" s="389">
        <v>3576</v>
      </c>
      <c r="P89" s="389">
        <v>0</v>
      </c>
      <c r="Q89" s="390">
        <v>15952</v>
      </c>
      <c r="R89" s="381">
        <v>737</v>
      </c>
      <c r="S89" s="390">
        <v>8304</v>
      </c>
      <c r="T89" s="383">
        <f t="shared" si="9"/>
        <v>0</v>
      </c>
      <c r="U89" s="384">
        <f t="shared" si="10"/>
        <v>0</v>
      </c>
      <c r="V89" s="388"/>
      <c r="W89" s="389"/>
      <c r="X89" s="391"/>
      <c r="Y89" s="390"/>
      <c r="Z89" s="381"/>
      <c r="AA89" s="388"/>
      <c r="AB89" s="388"/>
      <c r="AC89" s="389"/>
      <c r="AD89" s="389"/>
      <c r="AE89" s="392"/>
      <c r="AF89" s="381"/>
      <c r="AG89" s="389"/>
    </row>
    <row r="90" spans="1:33" s="404" customFormat="1" ht="12.75" customHeight="1">
      <c r="A90" s="417" t="s">
        <v>115</v>
      </c>
      <c r="B90" s="418" t="s">
        <v>786</v>
      </c>
      <c r="C90" s="507" t="s">
        <v>787</v>
      </c>
      <c r="D90" s="417">
        <v>133386</v>
      </c>
      <c r="E90" s="419">
        <v>7</v>
      </c>
      <c r="F90" s="376">
        <f t="shared" si="7"/>
        <v>351971</v>
      </c>
      <c r="G90" s="377">
        <f t="shared" si="8"/>
        <v>403847</v>
      </c>
      <c r="H90" s="388">
        <v>268288</v>
      </c>
      <c r="I90" s="389">
        <v>318148</v>
      </c>
      <c r="J90" s="388">
        <v>0</v>
      </c>
      <c r="K90" s="390">
        <v>7</v>
      </c>
      <c r="L90" s="381">
        <v>63091</v>
      </c>
      <c r="M90" s="388">
        <v>2049</v>
      </c>
      <c r="N90" s="388">
        <v>18543</v>
      </c>
      <c r="O90" s="389">
        <v>85480</v>
      </c>
      <c r="P90" s="389">
        <v>0</v>
      </c>
      <c r="Q90" s="390">
        <v>212</v>
      </c>
      <c r="R90" s="381">
        <v>0</v>
      </c>
      <c r="S90" s="390">
        <v>0</v>
      </c>
      <c r="T90" s="383">
        <f t="shared" si="9"/>
        <v>0</v>
      </c>
      <c r="U90" s="384">
        <f t="shared" si="10"/>
        <v>0</v>
      </c>
      <c r="V90" s="388"/>
      <c r="W90" s="389"/>
      <c r="X90" s="391"/>
      <c r="Y90" s="390"/>
      <c r="Z90" s="381"/>
      <c r="AA90" s="388"/>
      <c r="AB90" s="388"/>
      <c r="AC90" s="389"/>
      <c r="AD90" s="389"/>
      <c r="AE90" s="392"/>
      <c r="AF90" s="381"/>
      <c r="AG90" s="389"/>
    </row>
    <row r="91" spans="1:33" s="404" customFormat="1" ht="12.75" customHeight="1">
      <c r="A91" s="417" t="s">
        <v>115</v>
      </c>
      <c r="B91" s="418" t="s">
        <v>128</v>
      </c>
      <c r="C91" s="418"/>
      <c r="D91" s="417">
        <v>135717</v>
      </c>
      <c r="E91" s="419">
        <v>7</v>
      </c>
      <c r="F91" s="376">
        <f t="shared" si="7"/>
        <v>1463404</v>
      </c>
      <c r="G91" s="377">
        <f t="shared" si="8"/>
        <v>1571735</v>
      </c>
      <c r="H91" s="388">
        <v>1341835</v>
      </c>
      <c r="I91" s="389">
        <v>1423962</v>
      </c>
      <c r="J91" s="388">
        <v>26317</v>
      </c>
      <c r="K91" s="390">
        <v>16409</v>
      </c>
      <c r="L91" s="381">
        <v>31885</v>
      </c>
      <c r="M91" s="388">
        <v>0</v>
      </c>
      <c r="N91" s="388">
        <v>63263</v>
      </c>
      <c r="O91" s="389">
        <v>103467</v>
      </c>
      <c r="P91" s="389">
        <v>0</v>
      </c>
      <c r="Q91" s="390">
        <v>27897</v>
      </c>
      <c r="R91" s="381">
        <v>104</v>
      </c>
      <c r="S91" s="390">
        <v>0</v>
      </c>
      <c r="T91" s="383">
        <f t="shared" si="9"/>
        <v>0</v>
      </c>
      <c r="U91" s="384">
        <f t="shared" si="10"/>
        <v>0</v>
      </c>
      <c r="V91" s="388"/>
      <c r="W91" s="389"/>
      <c r="X91" s="391"/>
      <c r="Y91" s="390"/>
      <c r="Z91" s="381"/>
      <c r="AA91" s="388"/>
      <c r="AB91" s="388"/>
      <c r="AC91" s="389"/>
      <c r="AD91" s="389"/>
      <c r="AE91" s="392"/>
      <c r="AF91" s="381"/>
      <c r="AG91" s="389"/>
    </row>
    <row r="92" spans="1:33" s="404" customFormat="1" ht="12.75" customHeight="1">
      <c r="A92" s="421" t="s">
        <v>115</v>
      </c>
      <c r="B92" s="418" t="s">
        <v>129</v>
      </c>
      <c r="C92" s="418"/>
      <c r="D92" s="421">
        <v>136233</v>
      </c>
      <c r="E92" s="419">
        <v>7</v>
      </c>
      <c r="F92" s="376">
        <f t="shared" si="7"/>
        <v>159856</v>
      </c>
      <c r="G92" s="377">
        <f t="shared" si="8"/>
        <v>167455</v>
      </c>
      <c r="H92" s="388">
        <v>100242</v>
      </c>
      <c r="I92" s="389">
        <v>102950</v>
      </c>
      <c r="J92" s="388">
        <v>19415</v>
      </c>
      <c r="K92" s="390">
        <v>19156</v>
      </c>
      <c r="L92" s="381">
        <v>20048</v>
      </c>
      <c r="M92" s="388">
        <v>0</v>
      </c>
      <c r="N92" s="388">
        <v>8725</v>
      </c>
      <c r="O92" s="389">
        <v>22421</v>
      </c>
      <c r="P92" s="389">
        <v>0</v>
      </c>
      <c r="Q92" s="390">
        <v>11157</v>
      </c>
      <c r="R92" s="381">
        <v>11426</v>
      </c>
      <c r="S92" s="390">
        <v>11771</v>
      </c>
      <c r="T92" s="383">
        <f t="shared" si="9"/>
        <v>0</v>
      </c>
      <c r="U92" s="384">
        <f t="shared" si="10"/>
        <v>0</v>
      </c>
      <c r="V92" s="388"/>
      <c r="W92" s="389"/>
      <c r="X92" s="391"/>
      <c r="Y92" s="390"/>
      <c r="Z92" s="381"/>
      <c r="AA92" s="388"/>
      <c r="AB92" s="388"/>
      <c r="AC92" s="389"/>
      <c r="AD92" s="389"/>
      <c r="AE92" s="392"/>
      <c r="AF92" s="381"/>
      <c r="AG92" s="389"/>
    </row>
    <row r="93" spans="1:33" s="404" customFormat="1" ht="12.75" customHeight="1">
      <c r="A93" s="417" t="s">
        <v>115</v>
      </c>
      <c r="B93" s="418" t="s">
        <v>130</v>
      </c>
      <c r="C93" s="418"/>
      <c r="D93" s="417">
        <v>137078</v>
      </c>
      <c r="E93" s="419">
        <v>7</v>
      </c>
      <c r="F93" s="376">
        <f t="shared" si="7"/>
        <v>581223</v>
      </c>
      <c r="G93" s="377">
        <f t="shared" si="8"/>
        <v>649907</v>
      </c>
      <c r="H93" s="388">
        <v>336326</v>
      </c>
      <c r="I93" s="389">
        <v>362169</v>
      </c>
      <c r="J93" s="388">
        <v>0</v>
      </c>
      <c r="K93" s="390">
        <v>0</v>
      </c>
      <c r="L93" s="381">
        <v>202480</v>
      </c>
      <c r="M93" s="388">
        <v>231</v>
      </c>
      <c r="N93" s="388">
        <v>38850</v>
      </c>
      <c r="O93" s="389">
        <v>230083</v>
      </c>
      <c r="P93" s="389">
        <v>540</v>
      </c>
      <c r="Q93" s="390">
        <v>54084</v>
      </c>
      <c r="R93" s="381">
        <v>3336</v>
      </c>
      <c r="S93" s="390">
        <v>3031</v>
      </c>
      <c r="T93" s="383">
        <f t="shared" si="9"/>
        <v>0</v>
      </c>
      <c r="U93" s="384">
        <f t="shared" si="10"/>
        <v>0</v>
      </c>
      <c r="V93" s="388"/>
      <c r="W93" s="389"/>
      <c r="X93" s="391"/>
      <c r="Y93" s="390"/>
      <c r="Z93" s="381"/>
      <c r="AA93" s="388"/>
      <c r="AB93" s="388"/>
      <c r="AC93" s="389"/>
      <c r="AD93" s="389"/>
      <c r="AE93" s="392"/>
      <c r="AF93" s="381"/>
      <c r="AG93" s="389"/>
    </row>
    <row r="94" spans="1:33" s="404" customFormat="1" ht="12.75" customHeight="1">
      <c r="A94" s="417" t="s">
        <v>115</v>
      </c>
      <c r="B94" s="418" t="s">
        <v>131</v>
      </c>
      <c r="C94" s="418"/>
      <c r="D94" s="417">
        <v>132693</v>
      </c>
      <c r="E94" s="419">
        <v>8</v>
      </c>
      <c r="F94" s="376">
        <f t="shared" si="7"/>
        <v>339675</v>
      </c>
      <c r="G94" s="377">
        <f t="shared" si="8"/>
        <v>360629</v>
      </c>
      <c r="H94" s="388">
        <v>243220</v>
      </c>
      <c r="I94" s="389">
        <v>226058</v>
      </c>
      <c r="J94" s="388">
        <v>9590</v>
      </c>
      <c r="K94" s="390">
        <v>9299</v>
      </c>
      <c r="L94" s="381">
        <v>64621</v>
      </c>
      <c r="M94" s="388">
        <v>0</v>
      </c>
      <c r="N94" s="388">
        <v>22244</v>
      </c>
      <c r="O94" s="389">
        <v>110135</v>
      </c>
      <c r="P94" s="389">
        <v>0</v>
      </c>
      <c r="Q94" s="390">
        <v>15137</v>
      </c>
      <c r="R94" s="381">
        <v>0</v>
      </c>
      <c r="S94" s="390">
        <v>0</v>
      </c>
      <c r="T94" s="383">
        <f t="shared" si="9"/>
        <v>0</v>
      </c>
      <c r="U94" s="384">
        <f t="shared" si="10"/>
        <v>0</v>
      </c>
      <c r="V94" s="388"/>
      <c r="W94" s="389"/>
      <c r="X94" s="391"/>
      <c r="Y94" s="390"/>
      <c r="Z94" s="381"/>
      <c r="AA94" s="388"/>
      <c r="AB94" s="388"/>
      <c r="AC94" s="389"/>
      <c r="AD94" s="389"/>
      <c r="AE94" s="392"/>
      <c r="AF94" s="381"/>
      <c r="AG94" s="389"/>
    </row>
    <row r="95" spans="1:33" s="404" customFormat="1" ht="12.75" customHeight="1">
      <c r="A95" s="417" t="s">
        <v>115</v>
      </c>
      <c r="B95" s="418" t="s">
        <v>789</v>
      </c>
      <c r="C95" s="507" t="s">
        <v>790</v>
      </c>
      <c r="D95" s="417">
        <v>132709</v>
      </c>
      <c r="E95" s="419">
        <v>8</v>
      </c>
      <c r="F95" s="376">
        <f t="shared" si="7"/>
        <v>781595</v>
      </c>
      <c r="G95" s="377">
        <f t="shared" si="8"/>
        <v>870553</v>
      </c>
      <c r="H95" s="388">
        <v>646985</v>
      </c>
      <c r="I95" s="389">
        <v>684329</v>
      </c>
      <c r="J95" s="388">
        <v>44420</v>
      </c>
      <c r="K95" s="390">
        <v>51796</v>
      </c>
      <c r="L95" s="381">
        <v>55678</v>
      </c>
      <c r="M95" s="388">
        <v>984</v>
      </c>
      <c r="N95" s="388">
        <v>31332</v>
      </c>
      <c r="O95" s="389">
        <v>77703</v>
      </c>
      <c r="P95" s="389">
        <v>1084</v>
      </c>
      <c r="Q95" s="390">
        <v>53505</v>
      </c>
      <c r="R95" s="381">
        <v>2196</v>
      </c>
      <c r="S95" s="390">
        <v>2136</v>
      </c>
      <c r="T95" s="383">
        <f t="shared" si="9"/>
        <v>0</v>
      </c>
      <c r="U95" s="384">
        <f t="shared" si="10"/>
        <v>0</v>
      </c>
      <c r="V95" s="388"/>
      <c r="W95" s="389"/>
      <c r="X95" s="391"/>
      <c r="Y95" s="390"/>
      <c r="Z95" s="381"/>
      <c r="AA95" s="388"/>
      <c r="AB95" s="388"/>
      <c r="AC95" s="389"/>
      <c r="AD95" s="389"/>
      <c r="AE95" s="392"/>
      <c r="AF95" s="381"/>
      <c r="AG95" s="389"/>
    </row>
    <row r="96" spans="1:33" s="404" customFormat="1" ht="12.75" customHeight="1">
      <c r="A96" s="417" t="s">
        <v>115</v>
      </c>
      <c r="B96" s="508" t="s">
        <v>132</v>
      </c>
      <c r="C96" s="509" t="s">
        <v>788</v>
      </c>
      <c r="D96" s="417">
        <v>133508</v>
      </c>
      <c r="E96" s="510">
        <v>7</v>
      </c>
      <c r="F96" s="376">
        <f t="shared" si="7"/>
        <v>313514</v>
      </c>
      <c r="G96" s="377">
        <f t="shared" si="8"/>
        <v>360927</v>
      </c>
      <c r="H96" s="388">
        <v>258381</v>
      </c>
      <c r="I96" s="389">
        <v>286589</v>
      </c>
      <c r="J96" s="388">
        <v>10150</v>
      </c>
      <c r="K96" s="390">
        <v>12937</v>
      </c>
      <c r="L96" s="381">
        <v>35332</v>
      </c>
      <c r="M96" s="388">
        <v>45</v>
      </c>
      <c r="N96" s="388">
        <v>4218</v>
      </c>
      <c r="O96" s="389">
        <v>48140</v>
      </c>
      <c r="P96" s="389">
        <v>30</v>
      </c>
      <c r="Q96" s="390">
        <v>5867</v>
      </c>
      <c r="R96" s="381">
        <v>5388</v>
      </c>
      <c r="S96" s="390">
        <v>7364</v>
      </c>
      <c r="T96" s="383">
        <f t="shared" si="9"/>
        <v>0</v>
      </c>
      <c r="U96" s="384">
        <f t="shared" si="10"/>
        <v>0</v>
      </c>
      <c r="V96" s="388"/>
      <c r="W96" s="389"/>
      <c r="X96" s="391"/>
      <c r="Y96" s="390"/>
      <c r="Z96" s="381"/>
      <c r="AA96" s="388"/>
      <c r="AB96" s="388"/>
      <c r="AC96" s="389"/>
      <c r="AD96" s="389"/>
      <c r="AE96" s="392"/>
      <c r="AF96" s="381"/>
      <c r="AG96" s="389"/>
    </row>
    <row r="97" spans="1:33" s="404" customFormat="1" ht="12.75" customHeight="1">
      <c r="A97" s="417" t="s">
        <v>115</v>
      </c>
      <c r="B97" s="418" t="s">
        <v>793</v>
      </c>
      <c r="C97" s="507" t="s">
        <v>794</v>
      </c>
      <c r="D97" s="417">
        <v>133702</v>
      </c>
      <c r="E97" s="419">
        <v>8</v>
      </c>
      <c r="F97" s="376">
        <f t="shared" si="7"/>
        <v>579570</v>
      </c>
      <c r="G97" s="377">
        <f t="shared" si="8"/>
        <v>668206</v>
      </c>
      <c r="H97" s="388">
        <v>341569</v>
      </c>
      <c r="I97" s="389">
        <v>381648</v>
      </c>
      <c r="J97" s="388">
        <v>12141</v>
      </c>
      <c r="K97" s="390">
        <v>11706</v>
      </c>
      <c r="L97" s="381">
        <v>150125</v>
      </c>
      <c r="M97" s="388">
        <v>0</v>
      </c>
      <c r="N97" s="388">
        <v>74763</v>
      </c>
      <c r="O97" s="389">
        <v>217457</v>
      </c>
      <c r="P97" s="389">
        <v>0</v>
      </c>
      <c r="Q97" s="390">
        <v>57395</v>
      </c>
      <c r="R97" s="381">
        <v>972</v>
      </c>
      <c r="S97" s="390">
        <v>0</v>
      </c>
      <c r="T97" s="383">
        <f t="shared" si="9"/>
        <v>0</v>
      </c>
      <c r="U97" s="384">
        <f t="shared" si="10"/>
        <v>0</v>
      </c>
      <c r="V97" s="388"/>
      <c r="W97" s="389"/>
      <c r="X97" s="391"/>
      <c r="Y97" s="390"/>
      <c r="Z97" s="381"/>
      <c r="AA97" s="388"/>
      <c r="AB97" s="388"/>
      <c r="AC97" s="389"/>
      <c r="AD97" s="389"/>
      <c r="AE97" s="392"/>
      <c r="AF97" s="381"/>
      <c r="AG97" s="389"/>
    </row>
    <row r="98" spans="1:33" s="404" customFormat="1" ht="12.75" customHeight="1">
      <c r="A98" s="417" t="s">
        <v>115</v>
      </c>
      <c r="B98" s="418" t="s">
        <v>133</v>
      </c>
      <c r="C98" s="418"/>
      <c r="D98" s="417">
        <v>134495</v>
      </c>
      <c r="E98" s="419">
        <v>8</v>
      </c>
      <c r="F98" s="376">
        <f t="shared" si="7"/>
        <v>529165</v>
      </c>
      <c r="G98" s="377">
        <f t="shared" si="8"/>
        <v>591140</v>
      </c>
      <c r="H98" s="388">
        <v>458387</v>
      </c>
      <c r="I98" s="389">
        <v>491367</v>
      </c>
      <c r="J98" s="388">
        <v>14713</v>
      </c>
      <c r="K98" s="390">
        <v>14673</v>
      </c>
      <c r="L98" s="381">
        <v>50038</v>
      </c>
      <c r="M98" s="388">
        <v>0</v>
      </c>
      <c r="N98" s="388">
        <v>5985</v>
      </c>
      <c r="O98" s="389">
        <v>61044</v>
      </c>
      <c r="P98" s="389">
        <v>0</v>
      </c>
      <c r="Q98" s="390">
        <v>24056</v>
      </c>
      <c r="R98" s="381">
        <v>42</v>
      </c>
      <c r="S98" s="390">
        <v>0</v>
      </c>
      <c r="T98" s="383">
        <f t="shared" si="9"/>
        <v>0</v>
      </c>
      <c r="U98" s="384">
        <f t="shared" si="10"/>
        <v>0</v>
      </c>
      <c r="V98" s="388"/>
      <c r="W98" s="389"/>
      <c r="X98" s="391"/>
      <c r="Y98" s="390"/>
      <c r="Z98" s="381"/>
      <c r="AA98" s="388"/>
      <c r="AB98" s="388"/>
      <c r="AC98" s="389"/>
      <c r="AD98" s="389"/>
      <c r="AE98" s="392"/>
      <c r="AF98" s="381"/>
      <c r="AG98" s="389"/>
    </row>
    <row r="99" spans="1:33" s="404" customFormat="1" ht="12.75" customHeight="1">
      <c r="A99" s="417" t="s">
        <v>115</v>
      </c>
      <c r="B99" s="418" t="s">
        <v>795</v>
      </c>
      <c r="C99" s="507" t="s">
        <v>796</v>
      </c>
      <c r="D99" s="417">
        <v>134608</v>
      </c>
      <c r="E99" s="419">
        <v>8</v>
      </c>
      <c r="F99" s="376">
        <f t="shared" si="7"/>
        <v>299147</v>
      </c>
      <c r="G99" s="377">
        <f t="shared" si="8"/>
        <v>335103</v>
      </c>
      <c r="H99" s="388">
        <v>224326</v>
      </c>
      <c r="I99" s="389">
        <v>246610</v>
      </c>
      <c r="J99" s="388">
        <v>10713</v>
      </c>
      <c r="K99" s="390">
        <v>11556</v>
      </c>
      <c r="L99" s="381">
        <v>48696</v>
      </c>
      <c r="M99" s="388">
        <v>6657</v>
      </c>
      <c r="N99" s="388">
        <v>8755</v>
      </c>
      <c r="O99" s="389">
        <v>57764</v>
      </c>
      <c r="P99" s="389">
        <v>2805</v>
      </c>
      <c r="Q99" s="390">
        <v>16139</v>
      </c>
      <c r="R99" s="381">
        <v>0</v>
      </c>
      <c r="S99" s="390">
        <v>229</v>
      </c>
      <c r="T99" s="383">
        <f t="shared" si="9"/>
        <v>0</v>
      </c>
      <c r="U99" s="384">
        <f t="shared" si="10"/>
        <v>0</v>
      </c>
      <c r="V99" s="388"/>
      <c r="W99" s="389"/>
      <c r="X99" s="391"/>
      <c r="Y99" s="390"/>
      <c r="Z99" s="381"/>
      <c r="AA99" s="388"/>
      <c r="AB99" s="388"/>
      <c r="AC99" s="389"/>
      <c r="AD99" s="389"/>
      <c r="AE99" s="392"/>
      <c r="AF99" s="381"/>
      <c r="AG99" s="389"/>
    </row>
    <row r="100" spans="1:33" s="404" customFormat="1" ht="12.75" customHeight="1">
      <c r="A100" s="417" t="s">
        <v>115</v>
      </c>
      <c r="B100" s="418" t="s">
        <v>797</v>
      </c>
      <c r="C100" s="507" t="s">
        <v>798</v>
      </c>
      <c r="D100" s="417">
        <v>136358</v>
      </c>
      <c r="E100" s="419">
        <v>8</v>
      </c>
      <c r="F100" s="376">
        <f t="shared" si="7"/>
        <v>515154</v>
      </c>
      <c r="G100" s="377">
        <f t="shared" si="8"/>
        <v>566788</v>
      </c>
      <c r="H100" s="388">
        <v>407493</v>
      </c>
      <c r="I100" s="389">
        <v>445259</v>
      </c>
      <c r="J100" s="388">
        <v>13437</v>
      </c>
      <c r="K100" s="390">
        <v>11941</v>
      </c>
      <c r="L100" s="381">
        <v>49044</v>
      </c>
      <c r="M100" s="388">
        <v>2687</v>
      </c>
      <c r="N100" s="388">
        <v>42493</v>
      </c>
      <c r="O100" s="389">
        <v>79376</v>
      </c>
      <c r="P100" s="389">
        <v>714</v>
      </c>
      <c r="Q100" s="390">
        <v>29498</v>
      </c>
      <c r="R100" s="381">
        <v>0</v>
      </c>
      <c r="S100" s="390">
        <v>0</v>
      </c>
      <c r="T100" s="383">
        <f t="shared" si="9"/>
        <v>0</v>
      </c>
      <c r="U100" s="384">
        <f t="shared" si="10"/>
        <v>0</v>
      </c>
      <c r="V100" s="388"/>
      <c r="W100" s="389"/>
      <c r="X100" s="391"/>
      <c r="Y100" s="390"/>
      <c r="Z100" s="381"/>
      <c r="AA100" s="388"/>
      <c r="AB100" s="388"/>
      <c r="AC100" s="389"/>
      <c r="AD100" s="389"/>
      <c r="AE100" s="392"/>
      <c r="AF100" s="381"/>
      <c r="AG100" s="389"/>
    </row>
    <row r="101" spans="1:33" s="404" customFormat="1" ht="12.75" customHeight="1">
      <c r="A101" s="421" t="s">
        <v>115</v>
      </c>
      <c r="B101" s="418" t="s">
        <v>134</v>
      </c>
      <c r="C101" s="418"/>
      <c r="D101" s="417">
        <v>136400</v>
      </c>
      <c r="E101" s="419">
        <v>8</v>
      </c>
      <c r="F101" s="376">
        <f t="shared" si="7"/>
        <v>185713</v>
      </c>
      <c r="G101" s="377">
        <f t="shared" si="8"/>
        <v>211011</v>
      </c>
      <c r="H101" s="388">
        <v>170976</v>
      </c>
      <c r="I101" s="389">
        <v>174539</v>
      </c>
      <c r="J101" s="388">
        <v>3772</v>
      </c>
      <c r="K101" s="390">
        <v>5466</v>
      </c>
      <c r="L101" s="381">
        <v>10749</v>
      </c>
      <c r="M101" s="388">
        <v>0</v>
      </c>
      <c r="N101" s="388">
        <v>216</v>
      </c>
      <c r="O101" s="389">
        <v>30401</v>
      </c>
      <c r="P101" s="389">
        <v>0</v>
      </c>
      <c r="Q101" s="390">
        <v>605</v>
      </c>
      <c r="R101" s="381">
        <v>0</v>
      </c>
      <c r="S101" s="390">
        <v>0</v>
      </c>
      <c r="T101" s="383">
        <f t="shared" si="9"/>
        <v>0</v>
      </c>
      <c r="U101" s="384">
        <f t="shared" si="10"/>
        <v>0</v>
      </c>
      <c r="V101" s="388"/>
      <c r="W101" s="389"/>
      <c r="X101" s="391"/>
      <c r="Y101" s="390"/>
      <c r="Z101" s="381"/>
      <c r="AA101" s="388"/>
      <c r="AB101" s="388"/>
      <c r="AC101" s="389"/>
      <c r="AD101" s="389"/>
      <c r="AE101" s="392"/>
      <c r="AF101" s="381"/>
      <c r="AG101" s="389"/>
    </row>
    <row r="102" spans="1:33" s="404" customFormat="1" ht="12.75" customHeight="1">
      <c r="A102" s="417" t="s">
        <v>115</v>
      </c>
      <c r="B102" s="418" t="s">
        <v>799</v>
      </c>
      <c r="C102" s="507" t="s">
        <v>803</v>
      </c>
      <c r="D102" s="417">
        <v>136473</v>
      </c>
      <c r="E102" s="419">
        <v>8</v>
      </c>
      <c r="F102" s="376">
        <f t="shared" si="7"/>
        <v>231637</v>
      </c>
      <c r="G102" s="377">
        <f t="shared" si="8"/>
        <v>245092</v>
      </c>
      <c r="H102" s="388">
        <v>187203</v>
      </c>
      <c r="I102" s="389">
        <v>196410</v>
      </c>
      <c r="J102" s="388">
        <v>11434</v>
      </c>
      <c r="K102" s="390">
        <v>10437</v>
      </c>
      <c r="L102" s="381">
        <v>30618</v>
      </c>
      <c r="M102" s="388">
        <v>0</v>
      </c>
      <c r="N102" s="388">
        <v>2382</v>
      </c>
      <c r="O102" s="389">
        <v>34726</v>
      </c>
      <c r="P102" s="389">
        <v>0</v>
      </c>
      <c r="Q102" s="390">
        <v>3519</v>
      </c>
      <c r="R102" s="381">
        <v>0</v>
      </c>
      <c r="S102" s="390">
        <v>0</v>
      </c>
      <c r="T102" s="383">
        <f t="shared" si="9"/>
        <v>0</v>
      </c>
      <c r="U102" s="384">
        <f t="shared" si="10"/>
        <v>0</v>
      </c>
      <c r="V102" s="388"/>
      <c r="W102" s="389"/>
      <c r="X102" s="391"/>
      <c r="Y102" s="390"/>
      <c r="Z102" s="381"/>
      <c r="AA102" s="388"/>
      <c r="AB102" s="388"/>
      <c r="AC102" s="389"/>
      <c r="AD102" s="389"/>
      <c r="AE102" s="392"/>
      <c r="AF102" s="381"/>
      <c r="AG102" s="389"/>
    </row>
    <row r="103" spans="1:33" s="404" customFormat="1" ht="12.75" customHeight="1">
      <c r="A103" s="417" t="s">
        <v>115</v>
      </c>
      <c r="B103" s="418" t="s">
        <v>800</v>
      </c>
      <c r="C103" s="507" t="s">
        <v>804</v>
      </c>
      <c r="D103" s="417">
        <v>136516</v>
      </c>
      <c r="E103" s="419">
        <v>8</v>
      </c>
      <c r="F103" s="376">
        <f t="shared" si="7"/>
        <v>181793</v>
      </c>
      <c r="G103" s="377">
        <f t="shared" si="8"/>
        <v>206465</v>
      </c>
      <c r="H103" s="388">
        <v>150628</v>
      </c>
      <c r="I103" s="389">
        <v>157717</v>
      </c>
      <c r="J103" s="388">
        <v>5865</v>
      </c>
      <c r="K103" s="390">
        <v>11291</v>
      </c>
      <c r="L103" s="381">
        <v>18703</v>
      </c>
      <c r="M103" s="388">
        <v>0</v>
      </c>
      <c r="N103" s="388">
        <v>6597</v>
      </c>
      <c r="O103" s="389">
        <v>26838</v>
      </c>
      <c r="P103" s="389">
        <v>0</v>
      </c>
      <c r="Q103" s="390">
        <v>10619</v>
      </c>
      <c r="R103" s="381">
        <v>0</v>
      </c>
      <c r="S103" s="390">
        <v>0</v>
      </c>
      <c r="T103" s="383">
        <f t="shared" si="9"/>
        <v>0</v>
      </c>
      <c r="U103" s="384">
        <f t="shared" si="10"/>
        <v>0</v>
      </c>
      <c r="V103" s="388"/>
      <c r="W103" s="389"/>
      <c r="X103" s="391"/>
      <c r="Y103" s="390"/>
      <c r="Z103" s="381"/>
      <c r="AA103" s="388"/>
      <c r="AB103" s="388"/>
      <c r="AC103" s="389"/>
      <c r="AD103" s="389"/>
      <c r="AE103" s="392"/>
      <c r="AF103" s="381"/>
      <c r="AG103" s="389"/>
    </row>
    <row r="104" spans="1:33" s="404" customFormat="1" ht="12.75" customHeight="1">
      <c r="A104" s="417" t="s">
        <v>115</v>
      </c>
      <c r="B104" s="418" t="s">
        <v>801</v>
      </c>
      <c r="C104" s="507" t="s">
        <v>805</v>
      </c>
      <c r="D104" s="417">
        <v>137096</v>
      </c>
      <c r="E104" s="419">
        <v>8</v>
      </c>
      <c r="F104" s="376">
        <f t="shared" si="7"/>
        <v>342055</v>
      </c>
      <c r="G104" s="377">
        <f t="shared" si="8"/>
        <v>359098</v>
      </c>
      <c r="H104" s="388">
        <v>277796</v>
      </c>
      <c r="I104" s="389">
        <v>276151</v>
      </c>
      <c r="J104" s="388">
        <v>3956</v>
      </c>
      <c r="K104" s="390">
        <v>3887</v>
      </c>
      <c r="L104" s="381">
        <v>47701</v>
      </c>
      <c r="M104" s="388">
        <v>3</v>
      </c>
      <c r="N104" s="388">
        <v>12599</v>
      </c>
      <c r="O104" s="389">
        <v>58580</v>
      </c>
      <c r="P104" s="389">
        <v>0</v>
      </c>
      <c r="Q104" s="390">
        <v>20480</v>
      </c>
      <c r="R104" s="381">
        <v>0</v>
      </c>
      <c r="S104" s="390">
        <v>0</v>
      </c>
      <c r="T104" s="383">
        <f t="shared" si="9"/>
        <v>0</v>
      </c>
      <c r="U104" s="384">
        <f t="shared" si="10"/>
        <v>0</v>
      </c>
      <c r="V104" s="388"/>
      <c r="W104" s="389"/>
      <c r="X104" s="391"/>
      <c r="Y104" s="390"/>
      <c r="Z104" s="381"/>
      <c r="AA104" s="388"/>
      <c r="AB104" s="388"/>
      <c r="AC104" s="389"/>
      <c r="AD104" s="389"/>
      <c r="AE104" s="392"/>
      <c r="AF104" s="381"/>
      <c r="AG104" s="389"/>
    </row>
    <row r="105" spans="1:33" s="404" customFormat="1" ht="12.75" customHeight="1">
      <c r="A105" s="417" t="s">
        <v>115</v>
      </c>
      <c r="B105" s="418" t="s">
        <v>802</v>
      </c>
      <c r="C105" s="507" t="s">
        <v>806</v>
      </c>
      <c r="D105" s="417">
        <v>137209</v>
      </c>
      <c r="E105" s="419">
        <v>8</v>
      </c>
      <c r="F105" s="376">
        <f t="shared" si="7"/>
        <v>330923</v>
      </c>
      <c r="G105" s="377">
        <f t="shared" si="8"/>
        <v>398887</v>
      </c>
      <c r="H105" s="388">
        <v>273596</v>
      </c>
      <c r="I105" s="389">
        <v>319443</v>
      </c>
      <c r="J105" s="388">
        <v>0</v>
      </c>
      <c r="K105" s="390">
        <v>0</v>
      </c>
      <c r="L105" s="381">
        <v>55437</v>
      </c>
      <c r="M105" s="388">
        <v>0</v>
      </c>
      <c r="N105" s="388">
        <v>1890</v>
      </c>
      <c r="O105" s="389">
        <v>74132</v>
      </c>
      <c r="P105" s="389">
        <v>0</v>
      </c>
      <c r="Q105" s="390">
        <v>5312</v>
      </c>
      <c r="R105" s="381">
        <v>0</v>
      </c>
      <c r="S105" s="390">
        <v>0</v>
      </c>
      <c r="T105" s="383">
        <f t="shared" si="9"/>
        <v>0</v>
      </c>
      <c r="U105" s="384">
        <f t="shared" si="10"/>
        <v>0</v>
      </c>
      <c r="V105" s="388"/>
      <c r="W105" s="389"/>
      <c r="X105" s="391"/>
      <c r="Y105" s="390"/>
      <c r="Z105" s="381"/>
      <c r="AA105" s="388"/>
      <c r="AB105" s="388"/>
      <c r="AC105" s="389"/>
      <c r="AD105" s="389"/>
      <c r="AE105" s="392"/>
      <c r="AF105" s="381"/>
      <c r="AG105" s="389"/>
    </row>
    <row r="106" spans="1:33" s="404" customFormat="1" ht="12.75" customHeight="1">
      <c r="A106" s="417" t="s">
        <v>115</v>
      </c>
      <c r="B106" s="418" t="s">
        <v>135</v>
      </c>
      <c r="C106" s="418"/>
      <c r="D106" s="417">
        <v>135391</v>
      </c>
      <c r="E106" s="419">
        <v>8</v>
      </c>
      <c r="F106" s="376">
        <f t="shared" si="7"/>
        <v>272386</v>
      </c>
      <c r="G106" s="377">
        <f t="shared" si="8"/>
        <v>276380</v>
      </c>
      <c r="H106" s="388">
        <v>233056</v>
      </c>
      <c r="I106" s="389">
        <v>223582</v>
      </c>
      <c r="J106" s="388">
        <v>8585</v>
      </c>
      <c r="K106" s="390">
        <v>9372</v>
      </c>
      <c r="L106" s="381">
        <v>24448</v>
      </c>
      <c r="M106" s="388">
        <v>1695</v>
      </c>
      <c r="N106" s="388">
        <v>4602</v>
      </c>
      <c r="O106" s="389">
        <v>30775</v>
      </c>
      <c r="P106" s="389">
        <v>1569</v>
      </c>
      <c r="Q106" s="390">
        <v>11082</v>
      </c>
      <c r="R106" s="381">
        <v>0</v>
      </c>
      <c r="S106" s="390">
        <v>0</v>
      </c>
      <c r="T106" s="383">
        <f t="shared" si="9"/>
        <v>0</v>
      </c>
      <c r="U106" s="384">
        <f t="shared" si="10"/>
        <v>0</v>
      </c>
      <c r="V106" s="388"/>
      <c r="W106" s="389"/>
      <c r="X106" s="391"/>
      <c r="Y106" s="390"/>
      <c r="Z106" s="381"/>
      <c r="AA106" s="388"/>
      <c r="AB106" s="388"/>
      <c r="AC106" s="389"/>
      <c r="AD106" s="389"/>
      <c r="AE106" s="392"/>
      <c r="AF106" s="381"/>
      <c r="AG106" s="389"/>
    </row>
    <row r="107" spans="1:33" s="404" customFormat="1" ht="12.75" customHeight="1">
      <c r="A107" s="417" t="s">
        <v>115</v>
      </c>
      <c r="B107" s="418" t="s">
        <v>136</v>
      </c>
      <c r="C107" s="418"/>
      <c r="D107" s="417">
        <v>137759</v>
      </c>
      <c r="E107" s="419">
        <v>8</v>
      </c>
      <c r="F107" s="376">
        <f t="shared" si="7"/>
        <v>327104</v>
      </c>
      <c r="G107" s="377">
        <f t="shared" si="8"/>
        <v>342820</v>
      </c>
      <c r="H107" s="388">
        <v>285802</v>
      </c>
      <c r="I107" s="389">
        <v>165250</v>
      </c>
      <c r="J107" s="388">
        <v>3628</v>
      </c>
      <c r="K107" s="390">
        <v>3054</v>
      </c>
      <c r="L107" s="381">
        <v>36856</v>
      </c>
      <c r="M107" s="388">
        <v>0</v>
      </c>
      <c r="N107" s="388">
        <v>818</v>
      </c>
      <c r="O107" s="389">
        <v>18829</v>
      </c>
      <c r="P107" s="389">
        <v>0</v>
      </c>
      <c r="Q107" s="390">
        <v>155687</v>
      </c>
      <c r="R107" s="381">
        <v>0</v>
      </c>
      <c r="S107" s="390">
        <v>0</v>
      </c>
      <c r="T107" s="383">
        <f t="shared" si="9"/>
        <v>0</v>
      </c>
      <c r="U107" s="384">
        <f t="shared" si="10"/>
        <v>0</v>
      </c>
      <c r="V107" s="388"/>
      <c r="W107" s="389"/>
      <c r="X107" s="391"/>
      <c r="Y107" s="390"/>
      <c r="Z107" s="381"/>
      <c r="AA107" s="388"/>
      <c r="AB107" s="388"/>
      <c r="AC107" s="389"/>
      <c r="AD107" s="389"/>
      <c r="AE107" s="392"/>
      <c r="AF107" s="381"/>
      <c r="AG107" s="389"/>
    </row>
    <row r="108" spans="1:33" s="404" customFormat="1" ht="12.75" customHeight="1">
      <c r="A108" s="417" t="s">
        <v>115</v>
      </c>
      <c r="B108" s="418" t="s">
        <v>137</v>
      </c>
      <c r="C108" s="418"/>
      <c r="D108" s="417">
        <v>138187</v>
      </c>
      <c r="E108" s="419">
        <v>8</v>
      </c>
      <c r="F108" s="376">
        <f t="shared" si="7"/>
        <v>827805</v>
      </c>
      <c r="G108" s="377">
        <f t="shared" si="8"/>
        <v>915042</v>
      </c>
      <c r="H108" s="388">
        <v>667258</v>
      </c>
      <c r="I108" s="389">
        <v>715709</v>
      </c>
      <c r="J108" s="388">
        <v>0</v>
      </c>
      <c r="K108" s="390">
        <v>0</v>
      </c>
      <c r="L108" s="381">
        <v>134794</v>
      </c>
      <c r="M108" s="388">
        <v>0</v>
      </c>
      <c r="N108" s="388">
        <v>25753</v>
      </c>
      <c r="O108" s="389">
        <v>161499</v>
      </c>
      <c r="P108" s="389">
        <v>0</v>
      </c>
      <c r="Q108" s="390">
        <v>37834</v>
      </c>
      <c r="R108" s="381">
        <v>0</v>
      </c>
      <c r="S108" s="390">
        <v>0</v>
      </c>
      <c r="T108" s="383">
        <f t="shared" si="9"/>
        <v>0</v>
      </c>
      <c r="U108" s="384">
        <f t="shared" si="10"/>
        <v>0</v>
      </c>
      <c r="V108" s="388"/>
      <c r="W108" s="389"/>
      <c r="X108" s="391"/>
      <c r="Y108" s="390"/>
      <c r="Z108" s="381"/>
      <c r="AA108" s="388"/>
      <c r="AB108" s="388"/>
      <c r="AC108" s="389"/>
      <c r="AD108" s="389"/>
      <c r="AE108" s="392"/>
      <c r="AF108" s="381"/>
      <c r="AG108" s="389"/>
    </row>
    <row r="109" spans="1:33" s="404" customFormat="1" ht="12.75" customHeight="1">
      <c r="A109" s="417" t="s">
        <v>115</v>
      </c>
      <c r="B109" s="508" t="s">
        <v>791</v>
      </c>
      <c r="C109" s="509" t="s">
        <v>792</v>
      </c>
      <c r="D109" s="417">
        <v>132851</v>
      </c>
      <c r="E109" s="510">
        <v>8</v>
      </c>
      <c r="F109" s="376">
        <f t="shared" si="7"/>
        <v>157184</v>
      </c>
      <c r="G109" s="377">
        <f t="shared" si="8"/>
        <v>179067</v>
      </c>
      <c r="H109" s="388">
        <v>127918</v>
      </c>
      <c r="I109" s="389">
        <v>137662</v>
      </c>
      <c r="J109" s="388">
        <v>0</v>
      </c>
      <c r="K109" s="390">
        <v>0</v>
      </c>
      <c r="L109" s="381">
        <v>22706</v>
      </c>
      <c r="M109" s="388">
        <v>0</v>
      </c>
      <c r="N109" s="388">
        <v>6560</v>
      </c>
      <c r="O109" s="389">
        <v>32997</v>
      </c>
      <c r="P109" s="389">
        <v>0</v>
      </c>
      <c r="Q109" s="390">
        <v>8408</v>
      </c>
      <c r="R109" s="381">
        <v>0</v>
      </c>
      <c r="S109" s="390">
        <v>0</v>
      </c>
      <c r="T109" s="383">
        <f t="shared" si="9"/>
        <v>0</v>
      </c>
      <c r="U109" s="384">
        <f t="shared" si="10"/>
        <v>0</v>
      </c>
      <c r="V109" s="388"/>
      <c r="W109" s="389"/>
      <c r="X109" s="391"/>
      <c r="Y109" s="390"/>
      <c r="Z109" s="381"/>
      <c r="AA109" s="388"/>
      <c r="AB109" s="388"/>
      <c r="AC109" s="389"/>
      <c r="AD109" s="389"/>
      <c r="AE109" s="392"/>
      <c r="AF109" s="381"/>
      <c r="AG109" s="389"/>
    </row>
    <row r="110" spans="1:33" s="404" customFormat="1" ht="12.75" customHeight="1">
      <c r="A110" s="417" t="s">
        <v>115</v>
      </c>
      <c r="B110" s="420" t="s">
        <v>138</v>
      </c>
      <c r="C110" s="511" t="s">
        <v>785</v>
      </c>
      <c r="D110" s="417">
        <v>134343</v>
      </c>
      <c r="E110" s="419">
        <v>9</v>
      </c>
      <c r="F110" s="376">
        <f t="shared" si="7"/>
        <v>131237</v>
      </c>
      <c r="G110" s="377">
        <f t="shared" si="8"/>
        <v>138911</v>
      </c>
      <c r="H110" s="388">
        <v>88216</v>
      </c>
      <c r="I110" s="389">
        <v>92440</v>
      </c>
      <c r="J110" s="388">
        <v>14739</v>
      </c>
      <c r="K110" s="390">
        <v>13282</v>
      </c>
      <c r="L110" s="381">
        <v>25057</v>
      </c>
      <c r="M110" s="388">
        <v>2241</v>
      </c>
      <c r="N110" s="388">
        <v>984</v>
      </c>
      <c r="O110" s="389">
        <v>29336</v>
      </c>
      <c r="P110" s="389">
        <v>2299</v>
      </c>
      <c r="Q110" s="390">
        <v>1554</v>
      </c>
      <c r="R110" s="381">
        <v>0</v>
      </c>
      <c r="S110" s="390">
        <v>0</v>
      </c>
      <c r="T110" s="383">
        <f t="shared" si="9"/>
        <v>0</v>
      </c>
      <c r="U110" s="384">
        <f t="shared" si="10"/>
        <v>0</v>
      </c>
      <c r="V110" s="388"/>
      <c r="W110" s="389"/>
      <c r="X110" s="391"/>
      <c r="Y110" s="390"/>
      <c r="Z110" s="381"/>
      <c r="AA110" s="388"/>
      <c r="AB110" s="388"/>
      <c r="AC110" s="389"/>
      <c r="AD110" s="389"/>
      <c r="AE110" s="392"/>
      <c r="AF110" s="381"/>
      <c r="AG110" s="389"/>
    </row>
    <row r="111" spans="1:33" s="404" customFormat="1" ht="12.75" customHeight="1">
      <c r="A111" s="417" t="s">
        <v>115</v>
      </c>
      <c r="B111" s="418" t="s">
        <v>139</v>
      </c>
      <c r="C111" s="418"/>
      <c r="D111" s="417">
        <v>135160</v>
      </c>
      <c r="E111" s="419">
        <v>9</v>
      </c>
      <c r="F111" s="376">
        <f t="shared" si="7"/>
        <v>57014</v>
      </c>
      <c r="G111" s="377">
        <f t="shared" si="8"/>
        <v>58982</v>
      </c>
      <c r="H111" s="388">
        <v>31787</v>
      </c>
      <c r="I111" s="389">
        <v>32078</v>
      </c>
      <c r="J111" s="388">
        <v>761</v>
      </c>
      <c r="K111" s="390">
        <v>1563</v>
      </c>
      <c r="L111" s="381">
        <v>19677</v>
      </c>
      <c r="M111" s="388">
        <v>3983</v>
      </c>
      <c r="N111" s="388">
        <v>806</v>
      </c>
      <c r="O111" s="389">
        <v>22508</v>
      </c>
      <c r="P111" s="389">
        <v>1313</v>
      </c>
      <c r="Q111" s="390">
        <v>1520</v>
      </c>
      <c r="R111" s="381">
        <v>0</v>
      </c>
      <c r="S111" s="390">
        <v>0</v>
      </c>
      <c r="T111" s="383">
        <f t="shared" si="9"/>
        <v>0</v>
      </c>
      <c r="U111" s="384">
        <f t="shared" si="10"/>
        <v>0</v>
      </c>
      <c r="V111" s="388"/>
      <c r="W111" s="389"/>
      <c r="X111" s="391"/>
      <c r="Y111" s="390"/>
      <c r="Z111" s="381"/>
      <c r="AA111" s="388"/>
      <c r="AB111" s="388"/>
      <c r="AC111" s="389"/>
      <c r="AD111" s="389"/>
      <c r="AE111" s="392"/>
      <c r="AF111" s="381"/>
      <c r="AG111" s="389"/>
    </row>
    <row r="112" spans="1:33" s="404" customFormat="1" ht="12.75" customHeight="1">
      <c r="A112" s="417" t="s">
        <v>115</v>
      </c>
      <c r="B112" s="418" t="s">
        <v>140</v>
      </c>
      <c r="C112" s="418"/>
      <c r="D112" s="417">
        <v>135188</v>
      </c>
      <c r="E112" s="419">
        <v>9</v>
      </c>
      <c r="F112" s="376">
        <f t="shared" si="7"/>
        <v>89279</v>
      </c>
      <c r="G112" s="377">
        <f t="shared" si="8"/>
        <v>97432</v>
      </c>
      <c r="H112" s="388">
        <v>75831</v>
      </c>
      <c r="I112" s="389">
        <v>77814</v>
      </c>
      <c r="J112" s="388">
        <v>0</v>
      </c>
      <c r="K112" s="390">
        <v>0</v>
      </c>
      <c r="L112" s="381">
        <v>4152</v>
      </c>
      <c r="M112" s="388">
        <v>0</v>
      </c>
      <c r="N112" s="388">
        <v>9066</v>
      </c>
      <c r="O112" s="389">
        <v>5680</v>
      </c>
      <c r="P112" s="389">
        <v>0</v>
      </c>
      <c r="Q112" s="390">
        <v>13938</v>
      </c>
      <c r="R112" s="381">
        <v>230</v>
      </c>
      <c r="S112" s="390">
        <v>0</v>
      </c>
      <c r="T112" s="383">
        <f t="shared" si="9"/>
        <v>0</v>
      </c>
      <c r="U112" s="384">
        <f t="shared" si="10"/>
        <v>0</v>
      </c>
      <c r="V112" s="388"/>
      <c r="W112" s="389"/>
      <c r="X112" s="391"/>
      <c r="Y112" s="390"/>
      <c r="Z112" s="381"/>
      <c r="AA112" s="388"/>
      <c r="AB112" s="388"/>
      <c r="AC112" s="389"/>
      <c r="AD112" s="389"/>
      <c r="AE112" s="392"/>
      <c r="AF112" s="381"/>
      <c r="AG112" s="389"/>
    </row>
    <row r="113" spans="1:33" s="404" customFormat="1" ht="12.75" customHeight="1">
      <c r="A113" s="417" t="s">
        <v>115</v>
      </c>
      <c r="B113" s="418" t="s">
        <v>141</v>
      </c>
      <c r="C113" s="418"/>
      <c r="D113" s="417">
        <v>137315</v>
      </c>
      <c r="E113" s="419">
        <v>9</v>
      </c>
      <c r="F113" s="376">
        <f t="shared" si="7"/>
        <v>47534</v>
      </c>
      <c r="G113" s="377">
        <f t="shared" si="8"/>
        <v>49486</v>
      </c>
      <c r="H113" s="388">
        <v>28956</v>
      </c>
      <c r="I113" s="389">
        <v>15775</v>
      </c>
      <c r="J113" s="388">
        <v>12275</v>
      </c>
      <c r="K113" s="390">
        <v>7763</v>
      </c>
      <c r="L113" s="381">
        <v>4512</v>
      </c>
      <c r="M113" s="388">
        <v>1350</v>
      </c>
      <c r="N113" s="388">
        <v>441</v>
      </c>
      <c r="O113" s="389">
        <v>6436</v>
      </c>
      <c r="P113" s="389">
        <v>1248</v>
      </c>
      <c r="Q113" s="390">
        <v>17691</v>
      </c>
      <c r="R113" s="381">
        <v>0</v>
      </c>
      <c r="S113" s="390">
        <v>573</v>
      </c>
      <c r="T113" s="383">
        <f t="shared" si="9"/>
        <v>0</v>
      </c>
      <c r="U113" s="384">
        <f t="shared" si="10"/>
        <v>0</v>
      </c>
      <c r="V113" s="388"/>
      <c r="W113" s="389"/>
      <c r="X113" s="391"/>
      <c r="Y113" s="390"/>
      <c r="Z113" s="381"/>
      <c r="AA113" s="388"/>
      <c r="AB113" s="388"/>
      <c r="AC113" s="389"/>
      <c r="AD113" s="389"/>
      <c r="AE113" s="392"/>
      <c r="AF113" s="381"/>
      <c r="AG113" s="389"/>
    </row>
    <row r="114" spans="1:33" s="404" customFormat="1" ht="12.75" customHeight="1">
      <c r="A114" s="417" t="s">
        <v>115</v>
      </c>
      <c r="B114" s="418" t="s">
        <v>142</v>
      </c>
      <c r="C114" s="507" t="s">
        <v>807</v>
      </c>
      <c r="D114" s="417">
        <v>137281</v>
      </c>
      <c r="E114" s="419">
        <v>9</v>
      </c>
      <c r="F114" s="376">
        <f t="shared" si="7"/>
        <v>126280</v>
      </c>
      <c r="G114" s="377">
        <f t="shared" si="8"/>
        <v>139519</v>
      </c>
      <c r="H114" s="388">
        <v>91984</v>
      </c>
      <c r="I114" s="389">
        <v>98958</v>
      </c>
      <c r="J114" s="388">
        <v>6693</v>
      </c>
      <c r="K114" s="390">
        <v>7702</v>
      </c>
      <c r="L114" s="381">
        <v>26324</v>
      </c>
      <c r="M114" s="388">
        <v>0</v>
      </c>
      <c r="N114" s="388">
        <v>1279</v>
      </c>
      <c r="O114" s="389">
        <v>30261</v>
      </c>
      <c r="P114" s="389">
        <v>0</v>
      </c>
      <c r="Q114" s="390">
        <v>2598</v>
      </c>
      <c r="R114" s="381">
        <v>0</v>
      </c>
      <c r="S114" s="390">
        <v>0</v>
      </c>
      <c r="T114" s="383">
        <f t="shared" si="9"/>
        <v>0</v>
      </c>
      <c r="U114" s="384">
        <f t="shared" si="10"/>
        <v>0</v>
      </c>
      <c r="V114" s="388"/>
      <c r="W114" s="389"/>
      <c r="X114" s="391"/>
      <c r="Y114" s="390"/>
      <c r="Z114" s="381"/>
      <c r="AA114" s="388"/>
      <c r="AB114" s="388"/>
      <c r="AC114" s="389"/>
      <c r="AD114" s="389"/>
      <c r="AE114" s="392"/>
      <c r="AF114" s="381"/>
      <c r="AG114" s="389"/>
    </row>
    <row r="115" spans="1:33" s="404" customFormat="1" ht="12.75" customHeight="1">
      <c r="A115" s="417" t="s">
        <v>115</v>
      </c>
      <c r="B115" s="418" t="s">
        <v>143</v>
      </c>
      <c r="C115" s="418"/>
      <c r="D115" s="417">
        <v>133960</v>
      </c>
      <c r="E115" s="419">
        <v>10</v>
      </c>
      <c r="F115" s="376">
        <f t="shared" si="7"/>
        <v>28123</v>
      </c>
      <c r="G115" s="377">
        <f t="shared" si="8"/>
        <v>29899</v>
      </c>
      <c r="H115" s="388">
        <v>19358</v>
      </c>
      <c r="I115" s="389">
        <v>24788</v>
      </c>
      <c r="J115" s="388">
        <v>1998</v>
      </c>
      <c r="K115" s="390">
        <v>1298</v>
      </c>
      <c r="L115" s="381">
        <v>2708</v>
      </c>
      <c r="M115" s="388">
        <v>675</v>
      </c>
      <c r="N115" s="388">
        <v>3072</v>
      </c>
      <c r="O115" s="389">
        <v>3191</v>
      </c>
      <c r="P115" s="389">
        <v>110</v>
      </c>
      <c r="Q115" s="390">
        <v>512</v>
      </c>
      <c r="R115" s="381">
        <v>312</v>
      </c>
      <c r="S115" s="390">
        <v>0</v>
      </c>
      <c r="T115" s="383">
        <f t="shared" si="9"/>
        <v>0</v>
      </c>
      <c r="U115" s="384">
        <f t="shared" si="10"/>
        <v>0</v>
      </c>
      <c r="V115" s="388"/>
      <c r="W115" s="389"/>
      <c r="X115" s="391"/>
      <c r="Y115" s="390"/>
      <c r="Z115" s="381"/>
      <c r="AA115" s="388"/>
      <c r="AB115" s="388"/>
      <c r="AC115" s="389"/>
      <c r="AD115" s="389"/>
      <c r="AE115" s="392"/>
      <c r="AF115" s="381"/>
      <c r="AG115" s="389"/>
    </row>
    <row r="116" spans="1:33" s="404" customFormat="1" ht="12.75" customHeight="1">
      <c r="A116" s="417" t="s">
        <v>115</v>
      </c>
      <c r="B116" s="418" t="s">
        <v>144</v>
      </c>
      <c r="C116" s="418"/>
      <c r="D116" s="417">
        <v>136145</v>
      </c>
      <c r="E116" s="419">
        <v>10</v>
      </c>
      <c r="F116" s="376">
        <f t="shared" si="7"/>
        <v>22425</v>
      </c>
      <c r="G116" s="377">
        <f t="shared" si="8"/>
        <v>25936</v>
      </c>
      <c r="H116" s="388">
        <v>16780</v>
      </c>
      <c r="I116" s="389">
        <v>12168</v>
      </c>
      <c r="J116" s="388">
        <v>1368</v>
      </c>
      <c r="K116" s="390">
        <v>1755</v>
      </c>
      <c r="L116" s="381">
        <v>3941</v>
      </c>
      <c r="M116" s="388">
        <v>0</v>
      </c>
      <c r="N116" s="388">
        <v>336</v>
      </c>
      <c r="O116" s="389">
        <v>4919</v>
      </c>
      <c r="P116" s="389">
        <v>0</v>
      </c>
      <c r="Q116" s="390">
        <v>7094</v>
      </c>
      <c r="R116" s="381">
        <v>0</v>
      </c>
      <c r="S116" s="390">
        <v>0</v>
      </c>
      <c r="T116" s="383">
        <f t="shared" si="9"/>
        <v>0</v>
      </c>
      <c r="U116" s="384">
        <f t="shared" si="10"/>
        <v>0</v>
      </c>
      <c r="V116" s="388"/>
      <c r="W116" s="389"/>
      <c r="X116" s="391"/>
      <c r="Y116" s="390"/>
      <c r="Z116" s="381"/>
      <c r="AA116" s="388"/>
      <c r="AB116" s="388"/>
      <c r="AC116" s="389"/>
      <c r="AD116" s="389"/>
      <c r="AE116" s="392"/>
      <c r="AF116" s="381"/>
      <c r="AG116" s="389"/>
    </row>
    <row r="117" spans="1:33" s="404" customFormat="1" ht="12.75" customHeight="1">
      <c r="A117" s="513" t="s">
        <v>145</v>
      </c>
      <c r="B117" s="514" t="s">
        <v>808</v>
      </c>
      <c r="C117" s="515"/>
      <c r="D117" s="467">
        <v>139940</v>
      </c>
      <c r="E117" s="467">
        <v>1</v>
      </c>
      <c r="F117" s="376">
        <f t="shared" si="7"/>
        <v>0</v>
      </c>
      <c r="G117" s="377">
        <f t="shared" si="8"/>
        <v>0</v>
      </c>
      <c r="H117" s="388"/>
      <c r="I117" s="512"/>
      <c r="J117" s="388"/>
      <c r="K117" s="390"/>
      <c r="L117" s="381"/>
      <c r="M117" s="388"/>
      <c r="N117" s="388"/>
      <c r="O117" s="512"/>
      <c r="P117" s="512"/>
      <c r="Q117" s="390"/>
      <c r="R117" s="381"/>
      <c r="S117" s="390"/>
      <c r="T117" s="383">
        <f t="shared" si="9"/>
        <v>0</v>
      </c>
      <c r="U117" s="384">
        <f t="shared" si="10"/>
        <v>0</v>
      </c>
      <c r="V117" s="388"/>
      <c r="W117" s="389"/>
      <c r="X117" s="391"/>
      <c r="Y117" s="390"/>
      <c r="Z117" s="381"/>
      <c r="AA117" s="388"/>
      <c r="AB117" s="388"/>
      <c r="AC117" s="389"/>
      <c r="AD117" s="389"/>
      <c r="AE117" s="392"/>
      <c r="AF117" s="381"/>
      <c r="AG117" s="389"/>
    </row>
    <row r="118" spans="1:33" s="404" customFormat="1" ht="12.75" customHeight="1">
      <c r="A118" s="513" t="s">
        <v>145</v>
      </c>
      <c r="B118" s="514" t="s">
        <v>809</v>
      </c>
      <c r="C118" s="515"/>
      <c r="D118" s="467">
        <v>139959</v>
      </c>
      <c r="E118" s="467">
        <v>1</v>
      </c>
      <c r="F118" s="376">
        <f t="shared" si="7"/>
        <v>0</v>
      </c>
      <c r="G118" s="377">
        <f t="shared" si="8"/>
        <v>0</v>
      </c>
      <c r="H118" s="388"/>
      <c r="I118" s="512"/>
      <c r="J118" s="388"/>
      <c r="K118" s="390"/>
      <c r="L118" s="381"/>
      <c r="M118" s="388"/>
      <c r="N118" s="388"/>
      <c r="O118" s="512"/>
      <c r="P118" s="512"/>
      <c r="Q118" s="390"/>
      <c r="R118" s="381"/>
      <c r="S118" s="390"/>
      <c r="T118" s="383">
        <f t="shared" si="9"/>
        <v>0</v>
      </c>
      <c r="U118" s="384">
        <f t="shared" si="10"/>
        <v>0</v>
      </c>
      <c r="V118" s="388"/>
      <c r="W118" s="389"/>
      <c r="X118" s="391"/>
      <c r="Y118" s="390"/>
      <c r="Z118" s="381"/>
      <c r="AA118" s="388"/>
      <c r="AB118" s="388"/>
      <c r="AC118" s="389"/>
      <c r="AD118" s="389"/>
      <c r="AE118" s="392"/>
      <c r="AF118" s="381"/>
      <c r="AG118" s="389"/>
    </row>
    <row r="119" spans="1:33" s="404" customFormat="1" ht="12.75" customHeight="1">
      <c r="A119" s="513" t="s">
        <v>145</v>
      </c>
      <c r="B119" s="514" t="s">
        <v>810</v>
      </c>
      <c r="C119" s="515"/>
      <c r="D119" s="467">
        <v>139755</v>
      </c>
      <c r="E119" s="467">
        <v>2</v>
      </c>
      <c r="F119" s="376">
        <f t="shared" si="7"/>
        <v>0</v>
      </c>
      <c r="G119" s="377">
        <f t="shared" si="8"/>
        <v>0</v>
      </c>
      <c r="H119" s="388"/>
      <c r="I119" s="512"/>
      <c r="J119" s="388"/>
      <c r="K119" s="390"/>
      <c r="L119" s="381"/>
      <c r="M119" s="388"/>
      <c r="N119" s="388"/>
      <c r="O119" s="512"/>
      <c r="P119" s="512"/>
      <c r="Q119" s="390"/>
      <c r="R119" s="381"/>
      <c r="S119" s="390"/>
      <c r="T119" s="383">
        <f t="shared" si="9"/>
        <v>0</v>
      </c>
      <c r="U119" s="384">
        <f t="shared" si="10"/>
        <v>0</v>
      </c>
      <c r="V119" s="388"/>
      <c r="W119" s="389"/>
      <c r="X119" s="391"/>
      <c r="Y119" s="390"/>
      <c r="Z119" s="381"/>
      <c r="AA119" s="388"/>
      <c r="AB119" s="388"/>
      <c r="AC119" s="389"/>
      <c r="AD119" s="389"/>
      <c r="AE119" s="392"/>
      <c r="AF119" s="381"/>
      <c r="AG119" s="389"/>
    </row>
    <row r="120" spans="1:33" s="404" customFormat="1" ht="12.75" customHeight="1">
      <c r="A120" s="513" t="s">
        <v>145</v>
      </c>
      <c r="B120" s="514" t="s">
        <v>811</v>
      </c>
      <c r="C120" s="515"/>
      <c r="D120" s="467">
        <v>139931</v>
      </c>
      <c r="E120" s="467">
        <v>3</v>
      </c>
      <c r="F120" s="376">
        <f t="shared" si="7"/>
        <v>0</v>
      </c>
      <c r="G120" s="377">
        <f t="shared" si="8"/>
        <v>0</v>
      </c>
      <c r="H120" s="388"/>
      <c r="I120" s="512"/>
      <c r="J120" s="388"/>
      <c r="K120" s="390"/>
      <c r="L120" s="381"/>
      <c r="M120" s="388"/>
      <c r="N120" s="388"/>
      <c r="O120" s="512"/>
      <c r="P120" s="512"/>
      <c r="Q120" s="390"/>
      <c r="R120" s="381"/>
      <c r="S120" s="390"/>
      <c r="T120" s="383">
        <f t="shared" si="9"/>
        <v>0</v>
      </c>
      <c r="U120" s="384">
        <f t="shared" si="10"/>
        <v>0</v>
      </c>
      <c r="V120" s="388"/>
      <c r="W120" s="389"/>
      <c r="X120" s="391"/>
      <c r="Y120" s="390"/>
      <c r="Z120" s="381"/>
      <c r="AA120" s="388"/>
      <c r="AB120" s="388"/>
      <c r="AC120" s="389"/>
      <c r="AD120" s="389"/>
      <c r="AE120" s="392"/>
      <c r="AF120" s="381"/>
      <c r="AG120" s="389"/>
    </row>
    <row r="121" spans="1:33" s="404" customFormat="1" ht="12.75" customHeight="1">
      <c r="A121" s="513" t="s">
        <v>145</v>
      </c>
      <c r="B121" s="514" t="s">
        <v>812</v>
      </c>
      <c r="C121" s="515"/>
      <c r="D121" s="467">
        <v>141334</v>
      </c>
      <c r="E121" s="467">
        <v>3</v>
      </c>
      <c r="F121" s="376">
        <f t="shared" si="7"/>
        <v>0</v>
      </c>
      <c r="G121" s="377">
        <f t="shared" si="8"/>
        <v>0</v>
      </c>
      <c r="H121" s="388"/>
      <c r="I121" s="512"/>
      <c r="J121" s="388"/>
      <c r="K121" s="390"/>
      <c r="L121" s="381"/>
      <c r="M121" s="388"/>
      <c r="N121" s="388"/>
      <c r="O121" s="512"/>
      <c r="P121" s="512"/>
      <c r="Q121" s="390"/>
      <c r="R121" s="381"/>
      <c r="S121" s="390"/>
      <c r="T121" s="383">
        <f t="shared" si="9"/>
        <v>0</v>
      </c>
      <c r="U121" s="384">
        <f t="shared" si="10"/>
        <v>0</v>
      </c>
      <c r="V121" s="388"/>
      <c r="W121" s="389"/>
      <c r="X121" s="391"/>
      <c r="Y121" s="390"/>
      <c r="Z121" s="381"/>
      <c r="AA121" s="388"/>
      <c r="AB121" s="388"/>
      <c r="AC121" s="389"/>
      <c r="AD121" s="389"/>
      <c r="AE121" s="392"/>
      <c r="AF121" s="381"/>
      <c r="AG121" s="389"/>
    </row>
    <row r="122" spans="1:33" s="404" customFormat="1" ht="12.75" customHeight="1">
      <c r="A122" s="513" t="s">
        <v>145</v>
      </c>
      <c r="B122" s="514" t="s">
        <v>813</v>
      </c>
      <c r="C122" s="515"/>
      <c r="D122" s="467">
        <v>141264</v>
      </c>
      <c r="E122" s="467">
        <v>3</v>
      </c>
      <c r="F122" s="376">
        <f t="shared" si="7"/>
        <v>0</v>
      </c>
      <c r="G122" s="377">
        <f t="shared" si="8"/>
        <v>0</v>
      </c>
      <c r="H122" s="388"/>
      <c r="I122" s="512"/>
      <c r="J122" s="388"/>
      <c r="K122" s="390"/>
      <c r="L122" s="381"/>
      <c r="M122" s="388"/>
      <c r="N122" s="388"/>
      <c r="O122" s="512"/>
      <c r="P122" s="512"/>
      <c r="Q122" s="390"/>
      <c r="R122" s="381"/>
      <c r="S122" s="390"/>
      <c r="T122" s="383">
        <f t="shared" si="9"/>
        <v>0</v>
      </c>
      <c r="U122" s="384">
        <f t="shared" si="10"/>
        <v>0</v>
      </c>
      <c r="V122" s="388"/>
      <c r="W122" s="389"/>
      <c r="X122" s="391"/>
      <c r="Y122" s="390"/>
      <c r="Z122" s="381"/>
      <c r="AA122" s="388"/>
      <c r="AB122" s="388"/>
      <c r="AC122" s="389"/>
      <c r="AD122" s="389"/>
      <c r="AE122" s="392"/>
      <c r="AF122" s="381"/>
      <c r="AG122" s="389"/>
    </row>
    <row r="123" spans="1:33" s="404" customFormat="1" ht="12.75" customHeight="1">
      <c r="A123" s="513" t="s">
        <v>145</v>
      </c>
      <c r="B123" s="514" t="s">
        <v>814</v>
      </c>
      <c r="C123" s="515"/>
      <c r="D123" s="467">
        <v>138716</v>
      </c>
      <c r="E123" s="467">
        <v>4</v>
      </c>
      <c r="F123" s="376">
        <f t="shared" si="7"/>
        <v>0</v>
      </c>
      <c r="G123" s="377">
        <f t="shared" si="8"/>
        <v>0</v>
      </c>
      <c r="H123" s="388"/>
      <c r="I123" s="512"/>
      <c r="J123" s="388"/>
      <c r="K123" s="390"/>
      <c r="L123" s="381"/>
      <c r="M123" s="388"/>
      <c r="N123" s="388"/>
      <c r="O123" s="512"/>
      <c r="P123" s="512"/>
      <c r="Q123" s="390"/>
      <c r="R123" s="381"/>
      <c r="S123" s="390"/>
      <c r="T123" s="383">
        <f t="shared" si="9"/>
        <v>0</v>
      </c>
      <c r="U123" s="384">
        <f t="shared" si="10"/>
        <v>0</v>
      </c>
      <c r="V123" s="388"/>
      <c r="W123" s="389"/>
      <c r="X123" s="391"/>
      <c r="Y123" s="390"/>
      <c r="Z123" s="381"/>
      <c r="AA123" s="388"/>
      <c r="AB123" s="388"/>
      <c r="AC123" s="389"/>
      <c r="AD123" s="389"/>
      <c r="AE123" s="392"/>
      <c r="AF123" s="381"/>
      <c r="AG123" s="389"/>
    </row>
    <row r="124" spans="1:33" s="404" customFormat="1" ht="12.75" customHeight="1">
      <c r="A124" s="513" t="s">
        <v>145</v>
      </c>
      <c r="B124" s="514" t="s">
        <v>815</v>
      </c>
      <c r="C124" s="515"/>
      <c r="D124" s="467">
        <v>138789</v>
      </c>
      <c r="E124" s="467">
        <v>4</v>
      </c>
      <c r="F124" s="376">
        <f t="shared" si="7"/>
        <v>0</v>
      </c>
      <c r="G124" s="377">
        <f t="shared" si="8"/>
        <v>0</v>
      </c>
      <c r="H124" s="388"/>
      <c r="I124" s="512"/>
      <c r="J124" s="388"/>
      <c r="K124" s="390"/>
      <c r="L124" s="381"/>
      <c r="M124" s="388"/>
      <c r="N124" s="388"/>
      <c r="O124" s="512"/>
      <c r="P124" s="512"/>
      <c r="Q124" s="390"/>
      <c r="R124" s="381"/>
      <c r="S124" s="390"/>
      <c r="T124" s="383">
        <f t="shared" si="9"/>
        <v>0</v>
      </c>
      <c r="U124" s="384">
        <f t="shared" si="10"/>
        <v>0</v>
      </c>
      <c r="V124" s="388"/>
      <c r="W124" s="389"/>
      <c r="X124" s="391"/>
      <c r="Y124" s="390"/>
      <c r="Z124" s="381"/>
      <c r="AA124" s="388"/>
      <c r="AB124" s="388"/>
      <c r="AC124" s="389"/>
      <c r="AD124" s="389"/>
      <c r="AE124" s="392"/>
      <c r="AF124" s="381"/>
      <c r="AG124" s="389"/>
    </row>
    <row r="125" spans="1:33" s="404" customFormat="1" ht="12.75" customHeight="1">
      <c r="A125" s="513" t="s">
        <v>145</v>
      </c>
      <c r="B125" s="514" t="s">
        <v>816</v>
      </c>
      <c r="C125" s="515"/>
      <c r="D125" s="467">
        <v>139366</v>
      </c>
      <c r="E125" s="467">
        <v>4</v>
      </c>
      <c r="F125" s="376">
        <f t="shared" si="7"/>
        <v>0</v>
      </c>
      <c r="G125" s="377">
        <f t="shared" si="8"/>
        <v>0</v>
      </c>
      <c r="H125" s="388"/>
      <c r="I125" s="512"/>
      <c r="J125" s="388"/>
      <c r="K125" s="390"/>
      <c r="L125" s="381"/>
      <c r="M125" s="388"/>
      <c r="N125" s="388"/>
      <c r="O125" s="512"/>
      <c r="P125" s="512"/>
      <c r="Q125" s="390"/>
      <c r="R125" s="381"/>
      <c r="S125" s="390"/>
      <c r="T125" s="383">
        <f t="shared" si="9"/>
        <v>0</v>
      </c>
      <c r="U125" s="384">
        <f t="shared" si="10"/>
        <v>0</v>
      </c>
      <c r="V125" s="388"/>
      <c r="W125" s="389"/>
      <c r="X125" s="391"/>
      <c r="Y125" s="390"/>
      <c r="Z125" s="381"/>
      <c r="AA125" s="388"/>
      <c r="AB125" s="388"/>
      <c r="AC125" s="389"/>
      <c r="AD125" s="389"/>
      <c r="AE125" s="392"/>
      <c r="AF125" s="381"/>
      <c r="AG125" s="389"/>
    </row>
    <row r="126" spans="1:33" s="404" customFormat="1" ht="12.75" customHeight="1">
      <c r="A126" s="513" t="s">
        <v>145</v>
      </c>
      <c r="B126" s="514" t="s">
        <v>817</v>
      </c>
      <c r="C126" s="515"/>
      <c r="D126" s="467">
        <v>139861</v>
      </c>
      <c r="E126" s="467">
        <v>4</v>
      </c>
      <c r="F126" s="376">
        <f t="shared" si="7"/>
        <v>0</v>
      </c>
      <c r="G126" s="377">
        <f t="shared" si="8"/>
        <v>0</v>
      </c>
      <c r="H126" s="388"/>
      <c r="I126" s="512"/>
      <c r="J126" s="388"/>
      <c r="K126" s="390"/>
      <c r="L126" s="381"/>
      <c r="M126" s="388"/>
      <c r="N126" s="388"/>
      <c r="O126" s="512"/>
      <c r="P126" s="512"/>
      <c r="Q126" s="390"/>
      <c r="R126" s="381"/>
      <c r="S126" s="390"/>
      <c r="T126" s="383">
        <f t="shared" si="9"/>
        <v>0</v>
      </c>
      <c r="U126" s="384">
        <f t="shared" si="10"/>
        <v>0</v>
      </c>
      <c r="V126" s="388"/>
      <c r="W126" s="389"/>
      <c r="X126" s="391"/>
      <c r="Y126" s="390"/>
      <c r="Z126" s="381"/>
      <c r="AA126" s="388"/>
      <c r="AB126" s="388"/>
      <c r="AC126" s="389"/>
      <c r="AD126" s="389"/>
      <c r="AE126" s="392"/>
      <c r="AF126" s="381"/>
      <c r="AG126" s="389"/>
    </row>
    <row r="127" spans="1:33" s="404" customFormat="1" ht="12.75" customHeight="1">
      <c r="A127" s="513" t="s">
        <v>145</v>
      </c>
      <c r="B127" s="514" t="s">
        <v>818</v>
      </c>
      <c r="C127" s="515"/>
      <c r="D127" s="467">
        <v>140164</v>
      </c>
      <c r="E127" s="467">
        <v>4</v>
      </c>
      <c r="F127" s="376">
        <f t="shared" si="7"/>
        <v>0</v>
      </c>
      <c r="G127" s="377">
        <f t="shared" si="8"/>
        <v>0</v>
      </c>
      <c r="H127" s="388"/>
      <c r="I127" s="512"/>
      <c r="J127" s="388"/>
      <c r="K127" s="390"/>
      <c r="L127" s="381"/>
      <c r="M127" s="388"/>
      <c r="N127" s="388"/>
      <c r="O127" s="512"/>
      <c r="P127" s="512"/>
      <c r="Q127" s="390"/>
      <c r="R127" s="381"/>
      <c r="S127" s="390"/>
      <c r="T127" s="383">
        <f t="shared" si="9"/>
        <v>0</v>
      </c>
      <c r="U127" s="384">
        <f t="shared" si="10"/>
        <v>0</v>
      </c>
      <c r="V127" s="388"/>
      <c r="W127" s="389"/>
      <c r="X127" s="391"/>
      <c r="Y127" s="390"/>
      <c r="Z127" s="381"/>
      <c r="AA127" s="388"/>
      <c r="AB127" s="388"/>
      <c r="AC127" s="389"/>
      <c r="AD127" s="389"/>
      <c r="AE127" s="392"/>
      <c r="AF127" s="381"/>
      <c r="AG127" s="389"/>
    </row>
    <row r="128" spans="1:33" s="404" customFormat="1" ht="12.75" customHeight="1">
      <c r="A128" s="513" t="s">
        <v>145</v>
      </c>
      <c r="B128" s="514" t="s">
        <v>819</v>
      </c>
      <c r="C128" s="515" t="s">
        <v>820</v>
      </c>
      <c r="D128" s="467">
        <v>138983</v>
      </c>
      <c r="E128" s="467">
        <v>5</v>
      </c>
      <c r="F128" s="376">
        <f t="shared" si="7"/>
        <v>0</v>
      </c>
      <c r="G128" s="377">
        <f t="shared" si="8"/>
        <v>0</v>
      </c>
      <c r="H128" s="388"/>
      <c r="I128" s="512"/>
      <c r="J128" s="388"/>
      <c r="K128" s="390"/>
      <c r="L128" s="381"/>
      <c r="M128" s="388"/>
      <c r="N128" s="388"/>
      <c r="O128" s="512"/>
      <c r="P128" s="512"/>
      <c r="Q128" s="390"/>
      <c r="R128" s="381"/>
      <c r="S128" s="390"/>
      <c r="T128" s="383">
        <f t="shared" si="9"/>
        <v>0</v>
      </c>
      <c r="U128" s="384">
        <f t="shared" si="10"/>
        <v>0</v>
      </c>
      <c r="V128" s="388"/>
      <c r="W128" s="389"/>
      <c r="X128" s="391"/>
      <c r="Y128" s="390"/>
      <c r="Z128" s="381"/>
      <c r="AA128" s="388"/>
      <c r="AB128" s="388"/>
      <c r="AC128" s="389"/>
      <c r="AD128" s="389"/>
      <c r="AE128" s="392"/>
      <c r="AF128" s="381"/>
      <c r="AG128" s="389"/>
    </row>
    <row r="129" spans="1:33" s="404" customFormat="1" ht="12.75" customHeight="1">
      <c r="A129" s="513" t="s">
        <v>145</v>
      </c>
      <c r="B129" s="514" t="s">
        <v>821</v>
      </c>
      <c r="C129" s="515"/>
      <c r="D129" s="467">
        <v>139719</v>
      </c>
      <c r="E129" s="467">
        <v>5</v>
      </c>
      <c r="F129" s="376">
        <f t="shared" si="7"/>
        <v>0</v>
      </c>
      <c r="G129" s="377">
        <f t="shared" si="8"/>
        <v>0</v>
      </c>
      <c r="H129" s="388"/>
      <c r="I129" s="512"/>
      <c r="J129" s="388"/>
      <c r="K129" s="390"/>
      <c r="L129" s="381"/>
      <c r="M129" s="388"/>
      <c r="N129" s="388"/>
      <c r="O129" s="512"/>
      <c r="P129" s="512"/>
      <c r="Q129" s="390"/>
      <c r="R129" s="381"/>
      <c r="S129" s="390"/>
      <c r="T129" s="383">
        <f t="shared" si="9"/>
        <v>0</v>
      </c>
      <c r="U129" s="384">
        <f t="shared" si="10"/>
        <v>0</v>
      </c>
      <c r="V129" s="388"/>
      <c r="W129" s="389"/>
      <c r="X129" s="391"/>
      <c r="Y129" s="390"/>
      <c r="Z129" s="381"/>
      <c r="AA129" s="388"/>
      <c r="AB129" s="388"/>
      <c r="AC129" s="389"/>
      <c r="AD129" s="389"/>
      <c r="AE129" s="392"/>
      <c r="AF129" s="381"/>
      <c r="AG129" s="389"/>
    </row>
    <row r="130" spans="1:33" s="404" customFormat="1" ht="12.75" customHeight="1">
      <c r="A130" s="513" t="s">
        <v>145</v>
      </c>
      <c r="B130" s="514" t="s">
        <v>822</v>
      </c>
      <c r="C130" s="515"/>
      <c r="D130" s="467">
        <v>139764</v>
      </c>
      <c r="E130" s="467">
        <v>5</v>
      </c>
      <c r="F130" s="376">
        <f t="shared" si="7"/>
        <v>0</v>
      </c>
      <c r="G130" s="377">
        <f t="shared" si="8"/>
        <v>0</v>
      </c>
      <c r="H130" s="388"/>
      <c r="I130" s="512"/>
      <c r="J130" s="388"/>
      <c r="K130" s="390"/>
      <c r="L130" s="381"/>
      <c r="M130" s="388"/>
      <c r="N130" s="388"/>
      <c r="O130" s="512"/>
      <c r="P130" s="512"/>
      <c r="Q130" s="390"/>
      <c r="R130" s="381"/>
      <c r="S130" s="390"/>
      <c r="T130" s="383">
        <f t="shared" si="9"/>
        <v>0</v>
      </c>
      <c r="U130" s="384">
        <f t="shared" si="10"/>
        <v>0</v>
      </c>
      <c r="V130" s="388"/>
      <c r="W130" s="389"/>
      <c r="X130" s="391"/>
      <c r="Y130" s="390"/>
      <c r="Z130" s="381"/>
      <c r="AA130" s="388"/>
      <c r="AB130" s="388"/>
      <c r="AC130" s="389"/>
      <c r="AD130" s="389"/>
      <c r="AE130" s="392"/>
      <c r="AF130" s="381"/>
      <c r="AG130" s="389"/>
    </row>
    <row r="131" spans="1:33" s="404" customFormat="1" ht="12.75" customHeight="1">
      <c r="A131" s="513" t="s">
        <v>145</v>
      </c>
      <c r="B131" s="514" t="s">
        <v>823</v>
      </c>
      <c r="C131" s="515" t="s">
        <v>820</v>
      </c>
      <c r="D131" s="467">
        <v>140669</v>
      </c>
      <c r="E131" s="467">
        <v>5</v>
      </c>
      <c r="F131" s="376">
        <f t="shared" si="7"/>
        <v>0</v>
      </c>
      <c r="G131" s="377">
        <f t="shared" si="8"/>
        <v>0</v>
      </c>
      <c r="H131" s="388"/>
      <c r="I131" s="512"/>
      <c r="J131" s="388"/>
      <c r="K131" s="390"/>
      <c r="L131" s="381"/>
      <c r="M131" s="388"/>
      <c r="N131" s="388"/>
      <c r="O131" s="512"/>
      <c r="P131" s="512"/>
      <c r="Q131" s="390"/>
      <c r="R131" s="381"/>
      <c r="S131" s="390"/>
      <c r="T131" s="383">
        <f t="shared" si="9"/>
        <v>0</v>
      </c>
      <c r="U131" s="384">
        <f t="shared" si="10"/>
        <v>0</v>
      </c>
      <c r="V131" s="388"/>
      <c r="W131" s="389"/>
      <c r="X131" s="391"/>
      <c r="Y131" s="390"/>
      <c r="Z131" s="381"/>
      <c r="AA131" s="388"/>
      <c r="AB131" s="388"/>
      <c r="AC131" s="389"/>
      <c r="AD131" s="389"/>
      <c r="AE131" s="392"/>
      <c r="AF131" s="381"/>
      <c r="AG131" s="389"/>
    </row>
    <row r="132" spans="1:33" s="404" customFormat="1" ht="12.75" customHeight="1">
      <c r="A132" s="513" t="s">
        <v>145</v>
      </c>
      <c r="B132" s="514" t="s">
        <v>824</v>
      </c>
      <c r="C132" s="515"/>
      <c r="D132" s="467">
        <v>140960</v>
      </c>
      <c r="E132" s="467">
        <v>5</v>
      </c>
      <c r="F132" s="376">
        <f t="shared" si="7"/>
        <v>0</v>
      </c>
      <c r="G132" s="377">
        <f t="shared" si="8"/>
        <v>0</v>
      </c>
      <c r="H132" s="388"/>
      <c r="I132" s="512"/>
      <c r="J132" s="388"/>
      <c r="K132" s="390"/>
      <c r="L132" s="381"/>
      <c r="M132" s="388"/>
      <c r="N132" s="388"/>
      <c r="O132" s="512"/>
      <c r="P132" s="512"/>
      <c r="Q132" s="390"/>
      <c r="R132" s="381"/>
      <c r="S132" s="390"/>
      <c r="T132" s="383">
        <f t="shared" si="9"/>
        <v>0</v>
      </c>
      <c r="U132" s="384">
        <f t="shared" si="10"/>
        <v>0</v>
      </c>
      <c r="V132" s="388"/>
      <c r="W132" s="389"/>
      <c r="X132" s="391"/>
      <c r="Y132" s="390"/>
      <c r="Z132" s="381"/>
      <c r="AA132" s="388"/>
      <c r="AB132" s="388"/>
      <c r="AC132" s="389"/>
      <c r="AD132" s="389"/>
      <c r="AE132" s="392"/>
      <c r="AF132" s="381"/>
      <c r="AG132" s="389"/>
    </row>
    <row r="133" spans="1:33" s="404" customFormat="1" ht="12.75" customHeight="1">
      <c r="A133" s="513" t="s">
        <v>145</v>
      </c>
      <c r="B133" s="514" t="s">
        <v>825</v>
      </c>
      <c r="C133" s="515" t="s">
        <v>826</v>
      </c>
      <c r="D133" s="467">
        <v>139311</v>
      </c>
      <c r="E133" s="467">
        <v>6</v>
      </c>
      <c r="F133" s="376">
        <f t="shared" si="7"/>
        <v>0</v>
      </c>
      <c r="G133" s="377">
        <f t="shared" si="8"/>
        <v>0</v>
      </c>
      <c r="H133" s="388"/>
      <c r="I133" s="512"/>
      <c r="J133" s="388"/>
      <c r="K133" s="390"/>
      <c r="L133" s="381"/>
      <c r="M133" s="388"/>
      <c r="N133" s="388"/>
      <c r="O133" s="512"/>
      <c r="P133" s="512"/>
      <c r="Q133" s="390"/>
      <c r="R133" s="381"/>
      <c r="S133" s="390"/>
      <c r="T133" s="383">
        <f t="shared" si="9"/>
        <v>0</v>
      </c>
      <c r="U133" s="384">
        <f t="shared" si="10"/>
        <v>0</v>
      </c>
      <c r="V133" s="388"/>
      <c r="W133" s="389"/>
      <c r="X133" s="391"/>
      <c r="Y133" s="390"/>
      <c r="Z133" s="381"/>
      <c r="AA133" s="388"/>
      <c r="AB133" s="388"/>
      <c r="AC133" s="389"/>
      <c r="AD133" s="389"/>
      <c r="AE133" s="392"/>
      <c r="AF133" s="381"/>
      <c r="AG133" s="389"/>
    </row>
    <row r="134" spans="1:33" s="404" customFormat="1" ht="12.75" customHeight="1">
      <c r="A134" s="513" t="s">
        <v>145</v>
      </c>
      <c r="B134" s="514" t="s">
        <v>827</v>
      </c>
      <c r="C134" s="515"/>
      <c r="D134" s="467">
        <v>140322</v>
      </c>
      <c r="E134" s="467">
        <v>6</v>
      </c>
      <c r="F134" s="376">
        <f t="shared" si="7"/>
        <v>0</v>
      </c>
      <c r="G134" s="377">
        <f t="shared" si="8"/>
        <v>0</v>
      </c>
      <c r="H134" s="388"/>
      <c r="I134" s="512"/>
      <c r="J134" s="388"/>
      <c r="K134" s="390"/>
      <c r="L134" s="381"/>
      <c r="M134" s="388"/>
      <c r="N134" s="388"/>
      <c r="O134" s="512"/>
      <c r="P134" s="512"/>
      <c r="Q134" s="390"/>
      <c r="R134" s="381"/>
      <c r="S134" s="390"/>
      <c r="T134" s="383">
        <f t="shared" si="9"/>
        <v>0</v>
      </c>
      <c r="U134" s="384">
        <f t="shared" si="10"/>
        <v>0</v>
      </c>
      <c r="V134" s="388"/>
      <c r="W134" s="389"/>
      <c r="X134" s="391"/>
      <c r="Y134" s="390"/>
      <c r="Z134" s="381"/>
      <c r="AA134" s="388"/>
      <c r="AB134" s="388"/>
      <c r="AC134" s="389"/>
      <c r="AD134" s="389"/>
      <c r="AE134" s="392"/>
      <c r="AF134" s="381"/>
      <c r="AG134" s="389"/>
    </row>
    <row r="135" spans="1:33" s="404" customFormat="1" ht="12.75" customHeight="1">
      <c r="A135" s="513" t="s">
        <v>145</v>
      </c>
      <c r="B135" s="514" t="s">
        <v>828</v>
      </c>
      <c r="C135" s="516"/>
      <c r="D135" s="467">
        <v>139463</v>
      </c>
      <c r="E135" s="467">
        <v>7</v>
      </c>
      <c r="F135" s="376">
        <f t="shared" si="7"/>
        <v>0</v>
      </c>
      <c r="G135" s="377">
        <f t="shared" si="8"/>
        <v>0</v>
      </c>
      <c r="H135" s="388"/>
      <c r="I135" s="512"/>
      <c r="J135" s="388"/>
      <c r="K135" s="390"/>
      <c r="L135" s="381"/>
      <c r="M135" s="388"/>
      <c r="N135" s="388"/>
      <c r="O135" s="512"/>
      <c r="P135" s="512"/>
      <c r="Q135" s="390"/>
      <c r="R135" s="381"/>
      <c r="S135" s="390"/>
      <c r="T135" s="383">
        <f t="shared" si="9"/>
        <v>0</v>
      </c>
      <c r="U135" s="384">
        <f t="shared" si="10"/>
        <v>0</v>
      </c>
      <c r="V135" s="388"/>
      <c r="W135" s="389"/>
      <c r="X135" s="391"/>
      <c r="Y135" s="390"/>
      <c r="Z135" s="381"/>
      <c r="AA135" s="388"/>
      <c r="AB135" s="388"/>
      <c r="AC135" s="389"/>
      <c r="AD135" s="389"/>
      <c r="AE135" s="392"/>
      <c r="AF135" s="381"/>
      <c r="AG135" s="389"/>
    </row>
    <row r="136" spans="1:33" s="404" customFormat="1" ht="12.75" customHeight="1">
      <c r="A136" s="469" t="s">
        <v>145</v>
      </c>
      <c r="B136" s="517" t="s">
        <v>829</v>
      </c>
      <c r="C136" s="518" t="s">
        <v>830</v>
      </c>
      <c r="D136" s="519">
        <v>139773</v>
      </c>
      <c r="E136" s="523">
        <v>7</v>
      </c>
      <c r="F136" s="376">
        <f t="shared" ref="F136:F199" si="11">SUM(H136,J136,L136,M136,N136,R136)</f>
        <v>0</v>
      </c>
      <c r="G136" s="377">
        <f t="shared" ref="G136:G199" si="12">SUM(I136,K136,O136,P136,Q136,S136)</f>
        <v>0</v>
      </c>
      <c r="H136" s="388"/>
      <c r="I136" s="512"/>
      <c r="J136" s="388"/>
      <c r="K136" s="390"/>
      <c r="L136" s="381"/>
      <c r="M136" s="388"/>
      <c r="N136" s="388"/>
      <c r="O136" s="512"/>
      <c r="P136" s="512"/>
      <c r="Q136" s="390"/>
      <c r="R136" s="381"/>
      <c r="S136" s="390"/>
      <c r="T136" s="383">
        <f t="shared" ref="T136:T199" si="13">SUM(V136,X136,Z136,AA136,AB136,AF136)</f>
        <v>0</v>
      </c>
      <c r="U136" s="384">
        <f t="shared" ref="U136:U199" si="14">SUM(W136,Y136,AC136,AD136,AE136,AG136)</f>
        <v>0</v>
      </c>
      <c r="V136" s="388"/>
      <c r="W136" s="389"/>
      <c r="X136" s="391"/>
      <c r="Y136" s="390"/>
      <c r="Z136" s="381"/>
      <c r="AA136" s="388"/>
      <c r="AB136" s="388"/>
      <c r="AC136" s="389"/>
      <c r="AD136" s="389"/>
      <c r="AE136" s="392"/>
      <c r="AF136" s="381"/>
      <c r="AG136" s="389"/>
    </row>
    <row r="137" spans="1:33" s="404" customFormat="1" ht="12.75" customHeight="1">
      <c r="A137" s="513" t="s">
        <v>145</v>
      </c>
      <c r="B137" s="514" t="s">
        <v>831</v>
      </c>
      <c r="C137" s="516"/>
      <c r="D137" s="467">
        <v>244437</v>
      </c>
      <c r="E137" s="467">
        <v>8</v>
      </c>
      <c r="F137" s="376">
        <f t="shared" si="11"/>
        <v>0</v>
      </c>
      <c r="G137" s="377">
        <f t="shared" si="12"/>
        <v>0</v>
      </c>
      <c r="H137" s="388"/>
      <c r="I137" s="512"/>
      <c r="J137" s="388"/>
      <c r="K137" s="390"/>
      <c r="L137" s="381"/>
      <c r="M137" s="388"/>
      <c r="N137" s="388"/>
      <c r="O137" s="512"/>
      <c r="P137" s="512"/>
      <c r="Q137" s="390"/>
      <c r="R137" s="381"/>
      <c r="S137" s="390"/>
      <c r="T137" s="383">
        <f t="shared" si="13"/>
        <v>0</v>
      </c>
      <c r="U137" s="384">
        <f t="shared" si="14"/>
        <v>0</v>
      </c>
      <c r="V137" s="388"/>
      <c r="W137" s="389"/>
      <c r="X137" s="391"/>
      <c r="Y137" s="390"/>
      <c r="Z137" s="381"/>
      <c r="AA137" s="388"/>
      <c r="AB137" s="388"/>
      <c r="AC137" s="389"/>
      <c r="AD137" s="389"/>
      <c r="AE137" s="392"/>
      <c r="AF137" s="381"/>
      <c r="AG137" s="389"/>
    </row>
    <row r="138" spans="1:33" s="404" customFormat="1" ht="12.75" customHeight="1">
      <c r="A138" s="513" t="s">
        <v>145</v>
      </c>
      <c r="B138" s="514" t="s">
        <v>832</v>
      </c>
      <c r="C138" s="516" t="s">
        <v>833</v>
      </c>
      <c r="D138" s="467">
        <v>138558</v>
      </c>
      <c r="E138" s="467">
        <v>9</v>
      </c>
      <c r="F138" s="376">
        <f t="shared" si="11"/>
        <v>0</v>
      </c>
      <c r="G138" s="377">
        <f t="shared" si="12"/>
        <v>0</v>
      </c>
      <c r="H138" s="388"/>
      <c r="I138" s="512"/>
      <c r="J138" s="388"/>
      <c r="K138" s="390"/>
      <c r="L138" s="381"/>
      <c r="M138" s="388"/>
      <c r="N138" s="388"/>
      <c r="O138" s="512"/>
      <c r="P138" s="512"/>
      <c r="Q138" s="390"/>
      <c r="R138" s="381"/>
      <c r="S138" s="390"/>
      <c r="T138" s="383">
        <f t="shared" si="13"/>
        <v>0</v>
      </c>
      <c r="U138" s="384">
        <f t="shared" si="14"/>
        <v>0</v>
      </c>
      <c r="V138" s="388"/>
      <c r="W138" s="389"/>
      <c r="X138" s="391"/>
      <c r="Y138" s="390"/>
      <c r="Z138" s="381"/>
      <c r="AA138" s="388"/>
      <c r="AB138" s="388"/>
      <c r="AC138" s="389"/>
      <c r="AD138" s="389"/>
      <c r="AE138" s="392"/>
      <c r="AF138" s="381"/>
      <c r="AG138" s="389"/>
    </row>
    <row r="139" spans="1:33" s="404" customFormat="1" ht="12.75" customHeight="1">
      <c r="A139" s="513" t="s">
        <v>145</v>
      </c>
      <c r="B139" s="514" t="s">
        <v>834</v>
      </c>
      <c r="C139" s="516"/>
      <c r="D139" s="467">
        <v>139010</v>
      </c>
      <c r="E139" s="467">
        <v>9</v>
      </c>
      <c r="F139" s="376">
        <f t="shared" si="11"/>
        <v>0</v>
      </c>
      <c r="G139" s="377">
        <f t="shared" si="12"/>
        <v>0</v>
      </c>
      <c r="H139" s="388"/>
      <c r="I139" s="512"/>
      <c r="J139" s="388"/>
      <c r="K139" s="390"/>
      <c r="L139" s="381"/>
      <c r="M139" s="388"/>
      <c r="N139" s="388"/>
      <c r="O139" s="512"/>
      <c r="P139" s="512"/>
      <c r="Q139" s="390"/>
      <c r="R139" s="381"/>
      <c r="S139" s="390"/>
      <c r="T139" s="383">
        <f t="shared" si="13"/>
        <v>0</v>
      </c>
      <c r="U139" s="384">
        <f t="shared" si="14"/>
        <v>0</v>
      </c>
      <c r="V139" s="388"/>
      <c r="W139" s="389"/>
      <c r="X139" s="391"/>
      <c r="Y139" s="390"/>
      <c r="Z139" s="381"/>
      <c r="AA139" s="388"/>
      <c r="AB139" s="388"/>
      <c r="AC139" s="389"/>
      <c r="AD139" s="389"/>
      <c r="AE139" s="392"/>
      <c r="AF139" s="381"/>
      <c r="AG139" s="389"/>
    </row>
    <row r="140" spans="1:33" s="404" customFormat="1" ht="12.75" customHeight="1">
      <c r="A140" s="513" t="s">
        <v>145</v>
      </c>
      <c r="B140" s="472" t="s">
        <v>835</v>
      </c>
      <c r="C140" s="520"/>
      <c r="D140" s="519">
        <v>139250</v>
      </c>
      <c r="E140" s="524">
        <v>9</v>
      </c>
      <c r="F140" s="376">
        <f t="shared" si="11"/>
        <v>0</v>
      </c>
      <c r="G140" s="377">
        <f t="shared" si="12"/>
        <v>0</v>
      </c>
      <c r="H140" s="388"/>
      <c r="I140" s="512"/>
      <c r="J140" s="388"/>
      <c r="K140" s="390"/>
      <c r="L140" s="381"/>
      <c r="M140" s="388"/>
      <c r="N140" s="388"/>
      <c r="O140" s="512"/>
      <c r="P140" s="512"/>
      <c r="Q140" s="390"/>
      <c r="R140" s="381"/>
      <c r="S140" s="390"/>
      <c r="T140" s="383">
        <f t="shared" si="13"/>
        <v>0</v>
      </c>
      <c r="U140" s="384">
        <f t="shared" si="14"/>
        <v>0</v>
      </c>
      <c r="V140" s="388"/>
      <c r="W140" s="389"/>
      <c r="X140" s="391"/>
      <c r="Y140" s="390"/>
      <c r="Z140" s="381"/>
      <c r="AA140" s="388"/>
      <c r="AB140" s="388"/>
      <c r="AC140" s="389"/>
      <c r="AD140" s="389"/>
      <c r="AE140" s="392"/>
      <c r="AF140" s="381"/>
      <c r="AG140" s="389"/>
    </row>
    <row r="141" spans="1:33" s="404" customFormat="1" ht="12.75" customHeight="1">
      <c r="A141" s="513" t="s">
        <v>145</v>
      </c>
      <c r="B141" s="472" t="s">
        <v>836</v>
      </c>
      <c r="C141" s="520"/>
      <c r="D141" s="467">
        <v>138691</v>
      </c>
      <c r="E141" s="467">
        <v>9</v>
      </c>
      <c r="F141" s="376">
        <f t="shared" si="11"/>
        <v>0</v>
      </c>
      <c r="G141" s="377">
        <f t="shared" si="12"/>
        <v>0</v>
      </c>
      <c r="H141" s="388"/>
      <c r="I141" s="512"/>
      <c r="J141" s="388"/>
      <c r="K141" s="390"/>
      <c r="L141" s="381"/>
      <c r="M141" s="388"/>
      <c r="N141" s="388"/>
      <c r="O141" s="512"/>
      <c r="P141" s="512"/>
      <c r="Q141" s="390"/>
      <c r="R141" s="381"/>
      <c r="S141" s="390"/>
      <c r="T141" s="383">
        <f t="shared" si="13"/>
        <v>0</v>
      </c>
      <c r="U141" s="384">
        <f t="shared" si="14"/>
        <v>0</v>
      </c>
      <c r="V141" s="388"/>
      <c r="W141" s="389"/>
      <c r="X141" s="391"/>
      <c r="Y141" s="390"/>
      <c r="Z141" s="381"/>
      <c r="AA141" s="388"/>
      <c r="AB141" s="388"/>
      <c r="AC141" s="389"/>
      <c r="AD141" s="389"/>
      <c r="AE141" s="392"/>
      <c r="AF141" s="381"/>
      <c r="AG141" s="389"/>
    </row>
    <row r="142" spans="1:33" s="404" customFormat="1" ht="12.75" customHeight="1">
      <c r="A142" s="469" t="s">
        <v>145</v>
      </c>
      <c r="B142" s="471" t="s">
        <v>837</v>
      </c>
      <c r="C142" s="521"/>
      <c r="D142" s="519">
        <v>139700</v>
      </c>
      <c r="E142" s="524">
        <v>9</v>
      </c>
      <c r="F142" s="376">
        <f t="shared" si="11"/>
        <v>0</v>
      </c>
      <c r="G142" s="377">
        <f t="shared" si="12"/>
        <v>0</v>
      </c>
      <c r="H142" s="388"/>
      <c r="I142" s="512"/>
      <c r="J142" s="388"/>
      <c r="K142" s="390"/>
      <c r="L142" s="381"/>
      <c r="M142" s="388"/>
      <c r="N142" s="388"/>
      <c r="O142" s="512"/>
      <c r="P142" s="512"/>
      <c r="Q142" s="390"/>
      <c r="R142" s="381"/>
      <c r="S142" s="390"/>
      <c r="T142" s="383">
        <f t="shared" si="13"/>
        <v>0</v>
      </c>
      <c r="U142" s="384">
        <f t="shared" si="14"/>
        <v>0</v>
      </c>
      <c r="V142" s="388"/>
      <c r="W142" s="389"/>
      <c r="X142" s="391"/>
      <c r="Y142" s="390"/>
      <c r="Z142" s="381"/>
      <c r="AA142" s="388"/>
      <c r="AB142" s="388"/>
      <c r="AC142" s="389"/>
      <c r="AD142" s="389"/>
      <c r="AE142" s="392"/>
      <c r="AF142" s="381"/>
      <c r="AG142" s="389"/>
    </row>
    <row r="143" spans="1:33" s="404" customFormat="1" ht="12.75" customHeight="1">
      <c r="A143" s="513" t="s">
        <v>145</v>
      </c>
      <c r="B143" s="514" t="s">
        <v>838</v>
      </c>
      <c r="C143" s="516" t="s">
        <v>839</v>
      </c>
      <c r="D143" s="467">
        <v>139968</v>
      </c>
      <c r="E143" s="467">
        <v>9</v>
      </c>
      <c r="F143" s="376">
        <f t="shared" si="11"/>
        <v>0</v>
      </c>
      <c r="G143" s="377">
        <f t="shared" si="12"/>
        <v>0</v>
      </c>
      <c r="H143" s="388"/>
      <c r="I143" s="512"/>
      <c r="J143" s="388"/>
      <c r="K143" s="390"/>
      <c r="L143" s="381"/>
      <c r="M143" s="388"/>
      <c r="N143" s="388"/>
      <c r="O143" s="512"/>
      <c r="P143" s="512"/>
      <c r="Q143" s="390"/>
      <c r="R143" s="381"/>
      <c r="S143" s="390"/>
      <c r="T143" s="383">
        <f t="shared" si="13"/>
        <v>0</v>
      </c>
      <c r="U143" s="384">
        <f t="shared" si="14"/>
        <v>0</v>
      </c>
      <c r="V143" s="388"/>
      <c r="W143" s="389"/>
      <c r="X143" s="391"/>
      <c r="Y143" s="390"/>
      <c r="Z143" s="381"/>
      <c r="AA143" s="388"/>
      <c r="AB143" s="388"/>
      <c r="AC143" s="389"/>
      <c r="AD143" s="389"/>
      <c r="AE143" s="392"/>
      <c r="AF143" s="381"/>
      <c r="AG143" s="389"/>
    </row>
    <row r="144" spans="1:33" s="404" customFormat="1" ht="12.75" customHeight="1">
      <c r="A144" s="513" t="s">
        <v>145</v>
      </c>
      <c r="B144" s="471" t="s">
        <v>840</v>
      </c>
      <c r="C144" s="521"/>
      <c r="D144" s="467">
        <v>140483</v>
      </c>
      <c r="E144" s="467">
        <v>9</v>
      </c>
      <c r="F144" s="376">
        <f t="shared" si="11"/>
        <v>0</v>
      </c>
      <c r="G144" s="377">
        <f t="shared" si="12"/>
        <v>0</v>
      </c>
      <c r="H144" s="388"/>
      <c r="I144" s="512"/>
      <c r="J144" s="388"/>
      <c r="K144" s="390"/>
      <c r="L144" s="381"/>
      <c r="M144" s="388"/>
      <c r="N144" s="388"/>
      <c r="O144" s="512"/>
      <c r="P144" s="512"/>
      <c r="Q144" s="390"/>
      <c r="R144" s="381"/>
      <c r="S144" s="390"/>
      <c r="T144" s="383">
        <f t="shared" si="13"/>
        <v>0</v>
      </c>
      <c r="U144" s="384">
        <f t="shared" si="14"/>
        <v>0</v>
      </c>
      <c r="V144" s="388"/>
      <c r="W144" s="389"/>
      <c r="X144" s="391"/>
      <c r="Y144" s="390"/>
      <c r="Z144" s="381"/>
      <c r="AA144" s="388"/>
      <c r="AB144" s="388"/>
      <c r="AC144" s="389"/>
      <c r="AD144" s="389"/>
      <c r="AE144" s="392"/>
      <c r="AF144" s="381"/>
      <c r="AG144" s="389"/>
    </row>
    <row r="145" spans="1:51" s="404" customFormat="1" ht="12.75" customHeight="1">
      <c r="A145" s="522" t="s">
        <v>145</v>
      </c>
      <c r="B145" s="514" t="s">
        <v>841</v>
      </c>
      <c r="C145" s="516" t="s">
        <v>842</v>
      </c>
      <c r="D145" s="467">
        <v>138901</v>
      </c>
      <c r="E145" s="467">
        <v>10</v>
      </c>
      <c r="F145" s="376">
        <f t="shared" si="11"/>
        <v>0</v>
      </c>
      <c r="G145" s="377">
        <f t="shared" si="12"/>
        <v>0</v>
      </c>
      <c r="H145" s="388"/>
      <c r="I145" s="512"/>
      <c r="J145" s="388"/>
      <c r="K145" s="390"/>
      <c r="L145" s="381"/>
      <c r="M145" s="388"/>
      <c r="N145" s="388"/>
      <c r="O145" s="512"/>
      <c r="P145" s="512"/>
      <c r="Q145" s="390"/>
      <c r="R145" s="381"/>
      <c r="S145" s="390"/>
      <c r="T145" s="383">
        <f t="shared" si="13"/>
        <v>0</v>
      </c>
      <c r="U145" s="384">
        <f t="shared" si="14"/>
        <v>0</v>
      </c>
      <c r="V145" s="388"/>
      <c r="W145" s="389"/>
      <c r="X145" s="391"/>
      <c r="Y145" s="390"/>
      <c r="Z145" s="381"/>
      <c r="AA145" s="388"/>
      <c r="AB145" s="388"/>
      <c r="AC145" s="389"/>
      <c r="AD145" s="389"/>
      <c r="AE145" s="392"/>
      <c r="AF145" s="381"/>
      <c r="AG145" s="389"/>
    </row>
    <row r="146" spans="1:51" s="404" customFormat="1" ht="12.75" customHeight="1">
      <c r="A146" s="522" t="s">
        <v>145</v>
      </c>
      <c r="B146" s="514" t="s">
        <v>843</v>
      </c>
      <c r="C146" s="516" t="s">
        <v>842</v>
      </c>
      <c r="D146" s="467">
        <v>139621</v>
      </c>
      <c r="E146" s="467">
        <v>10</v>
      </c>
      <c r="F146" s="376">
        <f t="shared" si="11"/>
        <v>0</v>
      </c>
      <c r="G146" s="377">
        <f t="shared" si="12"/>
        <v>0</v>
      </c>
      <c r="H146" s="388"/>
      <c r="I146" s="512"/>
      <c r="J146" s="388"/>
      <c r="K146" s="390"/>
      <c r="L146" s="381"/>
      <c r="M146" s="388"/>
      <c r="N146" s="388"/>
      <c r="O146" s="512"/>
      <c r="P146" s="512"/>
      <c r="Q146" s="390"/>
      <c r="R146" s="381"/>
      <c r="S146" s="390"/>
      <c r="T146" s="383">
        <f t="shared" si="13"/>
        <v>0</v>
      </c>
      <c r="U146" s="384">
        <f t="shared" si="14"/>
        <v>0</v>
      </c>
      <c r="V146" s="388"/>
      <c r="W146" s="389"/>
      <c r="X146" s="391"/>
      <c r="Y146" s="390"/>
      <c r="Z146" s="381"/>
      <c r="AA146" s="388"/>
      <c r="AB146" s="388"/>
      <c r="AC146" s="389"/>
      <c r="AD146" s="389"/>
      <c r="AE146" s="392"/>
      <c r="AF146" s="381"/>
      <c r="AG146" s="389"/>
    </row>
    <row r="147" spans="1:51" s="404" customFormat="1" ht="12.75" customHeight="1">
      <c r="A147" s="522" t="s">
        <v>145</v>
      </c>
      <c r="B147" s="514" t="s">
        <v>844</v>
      </c>
      <c r="C147" s="516"/>
      <c r="D147" s="467">
        <v>140997</v>
      </c>
      <c r="E147" s="467">
        <v>10</v>
      </c>
      <c r="F147" s="376">
        <f t="shared" si="11"/>
        <v>0</v>
      </c>
      <c r="G147" s="377">
        <f t="shared" si="12"/>
        <v>0</v>
      </c>
      <c r="H147" s="388"/>
      <c r="I147" s="512"/>
      <c r="J147" s="388"/>
      <c r="K147" s="390"/>
      <c r="L147" s="381"/>
      <c r="M147" s="388"/>
      <c r="N147" s="388"/>
      <c r="O147" s="512"/>
      <c r="P147" s="512"/>
      <c r="Q147" s="390"/>
      <c r="R147" s="381"/>
      <c r="S147" s="390"/>
      <c r="T147" s="383">
        <f t="shared" si="13"/>
        <v>0</v>
      </c>
      <c r="U147" s="384">
        <f t="shared" si="14"/>
        <v>0</v>
      </c>
      <c r="V147" s="388"/>
      <c r="W147" s="389"/>
      <c r="X147" s="391"/>
      <c r="Y147" s="390"/>
      <c r="Z147" s="381"/>
      <c r="AA147" s="388"/>
      <c r="AB147" s="388"/>
      <c r="AC147" s="389"/>
      <c r="AD147" s="389"/>
      <c r="AE147" s="392"/>
      <c r="AF147" s="381"/>
      <c r="AG147" s="389"/>
    </row>
    <row r="148" spans="1:51" s="404" customFormat="1" ht="12.75" customHeight="1">
      <c r="A148" s="522" t="s">
        <v>145</v>
      </c>
      <c r="B148" s="514" t="s">
        <v>845</v>
      </c>
      <c r="C148" s="516"/>
      <c r="D148" s="467">
        <v>141307</v>
      </c>
      <c r="E148" s="467">
        <v>10</v>
      </c>
      <c r="F148" s="376">
        <f t="shared" si="11"/>
        <v>0</v>
      </c>
      <c r="G148" s="377">
        <f t="shared" si="12"/>
        <v>0</v>
      </c>
      <c r="H148" s="388"/>
      <c r="I148" s="512"/>
      <c r="J148" s="388"/>
      <c r="K148" s="390"/>
      <c r="L148" s="381"/>
      <c r="M148" s="388"/>
      <c r="N148" s="388"/>
      <c r="O148" s="512"/>
      <c r="P148" s="512"/>
      <c r="Q148" s="390"/>
      <c r="R148" s="381"/>
      <c r="S148" s="390"/>
      <c r="T148" s="383">
        <f t="shared" si="13"/>
        <v>0</v>
      </c>
      <c r="U148" s="384">
        <f t="shared" si="14"/>
        <v>0</v>
      </c>
      <c r="V148" s="388"/>
      <c r="W148" s="389"/>
      <c r="X148" s="391"/>
      <c r="Y148" s="390"/>
      <c r="Z148" s="381"/>
      <c r="AA148" s="388"/>
      <c r="AB148" s="388"/>
      <c r="AC148" s="389"/>
      <c r="AD148" s="389"/>
      <c r="AE148" s="392"/>
      <c r="AF148" s="381"/>
      <c r="AG148" s="389"/>
    </row>
    <row r="149" spans="1:51" s="404" customFormat="1" ht="12.75" customHeight="1">
      <c r="A149" s="522" t="s">
        <v>145</v>
      </c>
      <c r="B149" s="514" t="s">
        <v>846</v>
      </c>
      <c r="C149" s="516" t="s">
        <v>847</v>
      </c>
      <c r="D149" s="467">
        <v>447689</v>
      </c>
      <c r="E149" s="467">
        <v>99</v>
      </c>
      <c r="F149" s="376">
        <f t="shared" si="11"/>
        <v>0</v>
      </c>
      <c r="G149" s="377">
        <f t="shared" si="12"/>
        <v>0</v>
      </c>
      <c r="H149" s="388"/>
      <c r="I149" s="512"/>
      <c r="J149" s="388"/>
      <c r="K149" s="390"/>
      <c r="L149" s="381"/>
      <c r="M149" s="388"/>
      <c r="N149" s="388"/>
      <c r="O149" s="512"/>
      <c r="P149" s="512"/>
      <c r="Q149" s="390"/>
      <c r="R149" s="381"/>
      <c r="S149" s="390"/>
      <c r="T149" s="383">
        <f t="shared" si="13"/>
        <v>0</v>
      </c>
      <c r="U149" s="384">
        <f t="shared" si="14"/>
        <v>0</v>
      </c>
      <c r="V149" s="388"/>
      <c r="W149" s="389"/>
      <c r="X149" s="391"/>
      <c r="Y149" s="390"/>
      <c r="Z149" s="381"/>
      <c r="AA149" s="388"/>
      <c r="AB149" s="388"/>
      <c r="AC149" s="389"/>
      <c r="AD149" s="389"/>
      <c r="AE149" s="392"/>
      <c r="AF149" s="381"/>
      <c r="AG149" s="389"/>
    </row>
    <row r="150" spans="1:51" s="428" customFormat="1" ht="12.75" customHeight="1">
      <c r="A150" s="422" t="s">
        <v>145</v>
      </c>
      <c r="B150" s="423" t="s">
        <v>146</v>
      </c>
      <c r="C150" s="423"/>
      <c r="D150" s="424">
        <v>138682</v>
      </c>
      <c r="E150" s="425">
        <v>12</v>
      </c>
      <c r="F150" s="376">
        <f t="shared" si="11"/>
        <v>157333</v>
      </c>
      <c r="G150" s="377">
        <f t="shared" si="12"/>
        <v>204508</v>
      </c>
      <c r="H150" s="388">
        <v>113578</v>
      </c>
      <c r="I150" s="426">
        <v>137819</v>
      </c>
      <c r="J150" s="388"/>
      <c r="K150" s="390"/>
      <c r="L150" s="381">
        <v>43755</v>
      </c>
      <c r="M150" s="388">
        <v>0</v>
      </c>
      <c r="N150" s="388">
        <v>0</v>
      </c>
      <c r="O150" s="426">
        <v>66689</v>
      </c>
      <c r="P150" s="427">
        <v>0</v>
      </c>
      <c r="Q150" s="390"/>
      <c r="R150" s="381"/>
      <c r="S150" s="390"/>
      <c r="T150" s="383">
        <f t="shared" si="13"/>
        <v>0</v>
      </c>
      <c r="U150" s="384">
        <f t="shared" si="14"/>
        <v>0</v>
      </c>
      <c r="V150" s="388"/>
      <c r="W150" s="389"/>
      <c r="X150" s="391"/>
      <c r="Y150" s="390"/>
      <c r="Z150" s="381"/>
      <c r="AA150" s="388"/>
      <c r="AB150" s="388"/>
      <c r="AC150" s="389"/>
      <c r="AD150" s="389"/>
      <c r="AE150" s="392"/>
      <c r="AF150" s="381"/>
      <c r="AG150" s="389"/>
      <c r="AH150" s="404"/>
      <c r="AI150" s="404"/>
      <c r="AJ150" s="404"/>
      <c r="AK150" s="404"/>
      <c r="AL150" s="404"/>
      <c r="AM150" s="404"/>
      <c r="AN150" s="404"/>
      <c r="AO150" s="404"/>
      <c r="AP150" s="404"/>
      <c r="AQ150" s="404"/>
      <c r="AR150" s="404"/>
      <c r="AS150" s="404"/>
      <c r="AT150" s="404"/>
      <c r="AU150" s="404"/>
      <c r="AV150" s="404"/>
      <c r="AW150" s="404"/>
      <c r="AX150" s="404"/>
      <c r="AY150" s="404"/>
    </row>
    <row r="151" spans="1:51" s="428" customFormat="1" ht="12.75" customHeight="1">
      <c r="A151" s="422" t="s">
        <v>145</v>
      </c>
      <c r="B151" s="423" t="s">
        <v>147</v>
      </c>
      <c r="C151" s="423"/>
      <c r="D151" s="424">
        <v>246813</v>
      </c>
      <c r="E151" s="425">
        <v>12</v>
      </c>
      <c r="F151" s="376">
        <f t="shared" si="11"/>
        <v>155120</v>
      </c>
      <c r="G151" s="377">
        <f t="shared" si="12"/>
        <v>190962</v>
      </c>
      <c r="H151" s="388">
        <v>139400</v>
      </c>
      <c r="I151" s="426">
        <v>170984</v>
      </c>
      <c r="J151" s="388"/>
      <c r="K151" s="390"/>
      <c r="L151" s="381">
        <v>13815</v>
      </c>
      <c r="M151" s="388">
        <v>1905</v>
      </c>
      <c r="N151" s="388">
        <v>0</v>
      </c>
      <c r="O151" s="426">
        <v>17873</v>
      </c>
      <c r="P151" s="427">
        <v>2105</v>
      </c>
      <c r="Q151" s="390"/>
      <c r="R151" s="381"/>
      <c r="S151" s="390"/>
      <c r="T151" s="383">
        <f t="shared" si="13"/>
        <v>0</v>
      </c>
      <c r="U151" s="384">
        <f t="shared" si="14"/>
        <v>0</v>
      </c>
      <c r="V151" s="388"/>
      <c r="W151" s="389"/>
      <c r="X151" s="391"/>
      <c r="Y151" s="390"/>
      <c r="Z151" s="381"/>
      <c r="AA151" s="388"/>
      <c r="AB151" s="388"/>
      <c r="AC151" s="389"/>
      <c r="AD151" s="389"/>
      <c r="AE151" s="392"/>
      <c r="AF151" s="381"/>
      <c r="AG151" s="389"/>
      <c r="AH151" s="404"/>
      <c r="AI151" s="404"/>
      <c r="AJ151" s="404"/>
      <c r="AK151" s="404"/>
      <c r="AL151" s="404"/>
      <c r="AM151" s="404"/>
      <c r="AN151" s="404"/>
      <c r="AO151" s="404"/>
      <c r="AP151" s="404"/>
      <c r="AQ151" s="404"/>
      <c r="AR151" s="404"/>
      <c r="AS151" s="404"/>
      <c r="AT151" s="404"/>
      <c r="AU151" s="404"/>
      <c r="AV151" s="404"/>
      <c r="AW151" s="404"/>
      <c r="AX151" s="404"/>
      <c r="AY151" s="404"/>
    </row>
    <row r="152" spans="1:51" s="404" customFormat="1" ht="12.75" customHeight="1">
      <c r="A152" s="422" t="s">
        <v>145</v>
      </c>
      <c r="B152" s="423" t="s">
        <v>148</v>
      </c>
      <c r="C152" s="423"/>
      <c r="D152" s="424">
        <v>138840</v>
      </c>
      <c r="E152" s="425">
        <v>12</v>
      </c>
      <c r="F152" s="376">
        <f t="shared" si="11"/>
        <v>172661</v>
      </c>
      <c r="G152" s="377">
        <f t="shared" si="12"/>
        <v>219221</v>
      </c>
      <c r="H152" s="388">
        <v>151241</v>
      </c>
      <c r="I152" s="426">
        <v>192770</v>
      </c>
      <c r="J152" s="388"/>
      <c r="K152" s="390"/>
      <c r="L152" s="381">
        <v>21420</v>
      </c>
      <c r="M152" s="388">
        <v>0</v>
      </c>
      <c r="N152" s="388">
        <v>0</v>
      </c>
      <c r="O152" s="426">
        <v>26451</v>
      </c>
      <c r="P152" s="427">
        <v>0</v>
      </c>
      <c r="Q152" s="390"/>
      <c r="R152" s="381"/>
      <c r="S152" s="390"/>
      <c r="T152" s="383">
        <f t="shared" si="13"/>
        <v>0</v>
      </c>
      <c r="U152" s="384">
        <f t="shared" si="14"/>
        <v>0</v>
      </c>
      <c r="V152" s="388"/>
      <c r="W152" s="389"/>
      <c r="X152" s="391"/>
      <c r="Y152" s="390"/>
      <c r="Z152" s="381"/>
      <c r="AA152" s="388"/>
      <c r="AB152" s="388"/>
      <c r="AC152" s="389"/>
      <c r="AD152" s="389"/>
      <c r="AE152" s="392"/>
      <c r="AF152" s="381"/>
      <c r="AG152" s="389"/>
    </row>
    <row r="153" spans="1:51" s="404" customFormat="1" ht="12.75" customHeight="1">
      <c r="A153" s="422" t="s">
        <v>145</v>
      </c>
      <c r="B153" s="423" t="s">
        <v>149</v>
      </c>
      <c r="C153" s="423"/>
      <c r="D153" s="424">
        <v>138956</v>
      </c>
      <c r="E153" s="425">
        <v>12</v>
      </c>
      <c r="F153" s="376">
        <f t="shared" si="11"/>
        <v>183274</v>
      </c>
      <c r="G153" s="377">
        <f t="shared" si="12"/>
        <v>194035</v>
      </c>
      <c r="H153" s="388">
        <v>161008</v>
      </c>
      <c r="I153" s="426">
        <v>168612</v>
      </c>
      <c r="J153" s="388"/>
      <c r="K153" s="390"/>
      <c r="L153" s="381">
        <v>22266</v>
      </c>
      <c r="M153" s="388">
        <v>0</v>
      </c>
      <c r="N153" s="388">
        <v>0</v>
      </c>
      <c r="O153" s="426">
        <v>25423</v>
      </c>
      <c r="P153" s="427">
        <v>0</v>
      </c>
      <c r="Q153" s="390"/>
      <c r="R153" s="381"/>
      <c r="S153" s="390"/>
      <c r="T153" s="383">
        <f t="shared" si="13"/>
        <v>0</v>
      </c>
      <c r="U153" s="384">
        <f t="shared" si="14"/>
        <v>0</v>
      </c>
      <c r="V153" s="388"/>
      <c r="W153" s="389"/>
      <c r="X153" s="391"/>
      <c r="Y153" s="390"/>
      <c r="Z153" s="381"/>
      <c r="AA153" s="388"/>
      <c r="AB153" s="388"/>
      <c r="AC153" s="389"/>
      <c r="AD153" s="389"/>
      <c r="AE153" s="392"/>
      <c r="AF153" s="381"/>
      <c r="AG153" s="389"/>
    </row>
    <row r="154" spans="1:51" s="404" customFormat="1" ht="12.75" customHeight="1">
      <c r="A154" s="422" t="s">
        <v>145</v>
      </c>
      <c r="B154" s="423" t="s">
        <v>150</v>
      </c>
      <c r="C154" s="423"/>
      <c r="D154" s="424">
        <v>140304</v>
      </c>
      <c r="E154" s="425">
        <v>12</v>
      </c>
      <c r="F154" s="376">
        <f t="shared" si="11"/>
        <v>252693</v>
      </c>
      <c r="G154" s="377">
        <f t="shared" si="12"/>
        <v>308085</v>
      </c>
      <c r="H154" s="388">
        <v>183959</v>
      </c>
      <c r="I154" s="426">
        <v>224532</v>
      </c>
      <c r="J154" s="388"/>
      <c r="K154" s="390"/>
      <c r="L154" s="381">
        <v>68290</v>
      </c>
      <c r="M154" s="388">
        <v>444</v>
      </c>
      <c r="N154" s="388">
        <v>0</v>
      </c>
      <c r="O154" s="426">
        <v>82632</v>
      </c>
      <c r="P154" s="427">
        <v>921</v>
      </c>
      <c r="Q154" s="390"/>
      <c r="R154" s="381"/>
      <c r="S154" s="390"/>
      <c r="T154" s="383">
        <f t="shared" si="13"/>
        <v>0</v>
      </c>
      <c r="U154" s="384">
        <f t="shared" si="14"/>
        <v>0</v>
      </c>
      <c r="V154" s="388"/>
      <c r="W154" s="389"/>
      <c r="X154" s="391"/>
      <c r="Y154" s="390"/>
      <c r="Z154" s="381"/>
      <c r="AA154" s="388"/>
      <c r="AB154" s="388"/>
      <c r="AC154" s="389"/>
      <c r="AD154" s="389"/>
      <c r="AE154" s="392"/>
      <c r="AF154" s="381"/>
      <c r="AG154" s="389"/>
    </row>
    <row r="155" spans="1:51" s="404" customFormat="1" ht="12.75" customHeight="1">
      <c r="A155" s="422" t="s">
        <v>145</v>
      </c>
      <c r="B155" s="429" t="s">
        <v>151</v>
      </c>
      <c r="C155" s="429"/>
      <c r="D155" s="424">
        <v>140331</v>
      </c>
      <c r="E155" s="425">
        <v>12</v>
      </c>
      <c r="F155" s="376">
        <f t="shared" si="11"/>
        <v>387681</v>
      </c>
      <c r="G155" s="377">
        <f t="shared" si="12"/>
        <v>478803</v>
      </c>
      <c r="H155" s="388">
        <v>335554</v>
      </c>
      <c r="I155" s="426">
        <v>395024</v>
      </c>
      <c r="J155" s="388">
        <v>0</v>
      </c>
      <c r="K155" s="390"/>
      <c r="L155" s="381">
        <v>51777</v>
      </c>
      <c r="M155" s="388">
        <v>350</v>
      </c>
      <c r="N155" s="388">
        <v>0</v>
      </c>
      <c r="O155" s="426">
        <v>83779</v>
      </c>
      <c r="P155" s="427">
        <v>0</v>
      </c>
      <c r="Q155" s="390"/>
      <c r="R155" s="381">
        <v>0</v>
      </c>
      <c r="S155" s="390"/>
      <c r="T155" s="383">
        <f t="shared" si="13"/>
        <v>0</v>
      </c>
      <c r="U155" s="384">
        <f t="shared" si="14"/>
        <v>0</v>
      </c>
      <c r="V155" s="388"/>
      <c r="W155" s="389"/>
      <c r="X155" s="391"/>
      <c r="Y155" s="390"/>
      <c r="Z155" s="381"/>
      <c r="AA155" s="388"/>
      <c r="AB155" s="388"/>
      <c r="AC155" s="389"/>
      <c r="AD155" s="389"/>
      <c r="AE155" s="392"/>
      <c r="AF155" s="381"/>
      <c r="AG155" s="389"/>
    </row>
    <row r="156" spans="1:51" s="404" customFormat="1" ht="12.75" customHeight="1">
      <c r="A156" s="430" t="s">
        <v>145</v>
      </c>
      <c r="B156" s="423" t="s">
        <v>152</v>
      </c>
      <c r="C156" s="423"/>
      <c r="D156" s="424">
        <v>139357</v>
      </c>
      <c r="E156" s="425">
        <v>12</v>
      </c>
      <c r="F156" s="376">
        <f t="shared" si="11"/>
        <v>139974</v>
      </c>
      <c r="G156" s="377">
        <f t="shared" si="12"/>
        <v>153852</v>
      </c>
      <c r="H156" s="388">
        <v>120489</v>
      </c>
      <c r="I156" s="426">
        <v>131857</v>
      </c>
      <c r="J156" s="388"/>
      <c r="K156" s="390"/>
      <c r="L156" s="381">
        <v>19485</v>
      </c>
      <c r="M156" s="388">
        <v>0</v>
      </c>
      <c r="N156" s="388">
        <v>0</v>
      </c>
      <c r="O156" s="426">
        <v>21995</v>
      </c>
      <c r="P156" s="427">
        <v>0</v>
      </c>
      <c r="Q156" s="390"/>
      <c r="R156" s="381"/>
      <c r="S156" s="390"/>
      <c r="T156" s="383">
        <f t="shared" si="13"/>
        <v>0</v>
      </c>
      <c r="U156" s="384">
        <f t="shared" si="14"/>
        <v>0</v>
      </c>
      <c r="V156" s="388"/>
      <c r="W156" s="389"/>
      <c r="X156" s="391"/>
      <c r="Y156" s="390"/>
      <c r="Z156" s="381"/>
      <c r="AA156" s="388"/>
      <c r="AB156" s="388"/>
      <c r="AC156" s="389"/>
      <c r="AD156" s="389"/>
      <c r="AE156" s="392"/>
      <c r="AF156" s="381"/>
      <c r="AG156" s="389"/>
    </row>
    <row r="157" spans="1:51" s="404" customFormat="1" ht="12.75" customHeight="1">
      <c r="A157" s="430" t="s">
        <v>145</v>
      </c>
      <c r="B157" s="423" t="s">
        <v>153</v>
      </c>
      <c r="C157" s="423"/>
      <c r="D157" s="424">
        <v>244446</v>
      </c>
      <c r="E157" s="425">
        <v>12</v>
      </c>
      <c r="F157" s="376">
        <f t="shared" si="11"/>
        <v>170116</v>
      </c>
      <c r="G157" s="377">
        <f t="shared" si="12"/>
        <v>200128</v>
      </c>
      <c r="H157" s="388">
        <v>128931</v>
      </c>
      <c r="I157" s="426">
        <v>146522</v>
      </c>
      <c r="J157" s="388"/>
      <c r="K157" s="390"/>
      <c r="L157" s="381">
        <v>41185</v>
      </c>
      <c r="M157" s="388">
        <v>0</v>
      </c>
      <c r="N157" s="388">
        <v>0</v>
      </c>
      <c r="O157" s="426">
        <v>53606</v>
      </c>
      <c r="P157" s="427">
        <v>0</v>
      </c>
      <c r="Q157" s="390"/>
      <c r="R157" s="381"/>
      <c r="S157" s="390"/>
      <c r="T157" s="383">
        <f t="shared" si="13"/>
        <v>0</v>
      </c>
      <c r="U157" s="384">
        <f t="shared" si="14"/>
        <v>0</v>
      </c>
      <c r="V157" s="388"/>
      <c r="W157" s="389"/>
      <c r="X157" s="391"/>
      <c r="Y157" s="390"/>
      <c r="Z157" s="381"/>
      <c r="AA157" s="388"/>
      <c r="AB157" s="388"/>
      <c r="AC157" s="389"/>
      <c r="AD157" s="389"/>
      <c r="AE157" s="392"/>
      <c r="AF157" s="381"/>
      <c r="AG157" s="389"/>
    </row>
    <row r="158" spans="1:51" s="404" customFormat="1" ht="12.75" customHeight="1">
      <c r="A158" s="430" t="s">
        <v>145</v>
      </c>
      <c r="B158" s="429" t="s">
        <v>155</v>
      </c>
      <c r="C158" s="429"/>
      <c r="D158" s="424">
        <v>139384</v>
      </c>
      <c r="E158" s="425">
        <v>12</v>
      </c>
      <c r="F158" s="376">
        <f t="shared" si="11"/>
        <v>226352</v>
      </c>
      <c r="G158" s="377">
        <f t="shared" si="12"/>
        <v>262590</v>
      </c>
      <c r="H158" s="388">
        <v>175975</v>
      </c>
      <c r="I158" s="426">
        <v>195025</v>
      </c>
      <c r="J158" s="388">
        <v>0</v>
      </c>
      <c r="K158" s="390"/>
      <c r="L158" s="381">
        <v>50377</v>
      </c>
      <c r="M158" s="388">
        <v>0</v>
      </c>
      <c r="N158" s="388">
        <v>0</v>
      </c>
      <c r="O158" s="426">
        <v>66874</v>
      </c>
      <c r="P158" s="427">
        <v>691</v>
      </c>
      <c r="Q158" s="390"/>
      <c r="R158" s="381">
        <v>0</v>
      </c>
      <c r="S158" s="390"/>
      <c r="T158" s="383">
        <f t="shared" si="13"/>
        <v>0</v>
      </c>
      <c r="U158" s="384">
        <f t="shared" si="14"/>
        <v>0</v>
      </c>
      <c r="V158" s="388"/>
      <c r="W158" s="389"/>
      <c r="X158" s="391"/>
      <c r="Y158" s="390"/>
      <c r="Z158" s="381"/>
      <c r="AA158" s="388"/>
      <c r="AB158" s="388"/>
      <c r="AC158" s="389"/>
      <c r="AD158" s="389"/>
      <c r="AE158" s="392"/>
      <c r="AF158" s="381"/>
      <c r="AG158" s="389"/>
    </row>
    <row r="159" spans="1:51" s="404" customFormat="1" ht="12.75" customHeight="1">
      <c r="A159" s="431" t="s">
        <v>145</v>
      </c>
      <c r="B159" s="432" t="s">
        <v>170</v>
      </c>
      <c r="C159" s="432"/>
      <c r="D159" s="433">
        <v>248794</v>
      </c>
      <c r="E159" s="434">
        <v>13</v>
      </c>
      <c r="F159" s="376">
        <f t="shared" si="11"/>
        <v>40522.300000000003</v>
      </c>
      <c r="G159" s="377">
        <f t="shared" si="12"/>
        <v>0</v>
      </c>
      <c r="H159" s="388">
        <v>35172.300000000003</v>
      </c>
      <c r="I159" s="426"/>
      <c r="J159" s="388"/>
      <c r="K159" s="390"/>
      <c r="L159" s="381">
        <v>5350</v>
      </c>
      <c r="M159" s="388">
        <v>0</v>
      </c>
      <c r="N159" s="388">
        <v>0</v>
      </c>
      <c r="O159" s="426"/>
      <c r="P159" s="427"/>
      <c r="Q159" s="390"/>
      <c r="R159" s="381"/>
      <c r="S159" s="390"/>
      <c r="T159" s="383">
        <f t="shared" si="13"/>
        <v>0</v>
      </c>
      <c r="U159" s="384">
        <f t="shared" si="14"/>
        <v>0</v>
      </c>
      <c r="V159" s="388"/>
      <c r="W159" s="389"/>
      <c r="X159" s="391"/>
      <c r="Y159" s="390"/>
      <c r="Z159" s="381"/>
      <c r="AA159" s="388"/>
      <c r="AB159" s="388"/>
      <c r="AC159" s="389"/>
      <c r="AD159" s="389"/>
      <c r="AE159" s="392"/>
      <c r="AF159" s="381"/>
      <c r="AG159" s="389"/>
    </row>
    <row r="160" spans="1:51" s="404" customFormat="1" ht="12.75" customHeight="1">
      <c r="A160" s="430" t="s">
        <v>145</v>
      </c>
      <c r="B160" s="435" t="s">
        <v>726</v>
      </c>
      <c r="C160" s="435"/>
      <c r="D160" s="424">
        <v>139986</v>
      </c>
      <c r="E160" s="425">
        <v>12</v>
      </c>
      <c r="F160" s="376">
        <f t="shared" si="11"/>
        <v>185320</v>
      </c>
      <c r="G160" s="377">
        <f t="shared" si="12"/>
        <v>0</v>
      </c>
      <c r="H160" s="388">
        <v>151991</v>
      </c>
      <c r="I160" s="426"/>
      <c r="J160" s="388"/>
      <c r="K160" s="390"/>
      <c r="L160" s="381">
        <v>33329</v>
      </c>
      <c r="M160" s="388">
        <v>0</v>
      </c>
      <c r="N160" s="388">
        <v>0</v>
      </c>
      <c r="P160" s="427">
        <v>0</v>
      </c>
      <c r="Q160" s="390"/>
      <c r="R160" s="381"/>
      <c r="S160" s="390"/>
      <c r="T160" s="383">
        <f t="shared" si="13"/>
        <v>0</v>
      </c>
      <c r="U160" s="384">
        <f t="shared" si="14"/>
        <v>0</v>
      </c>
      <c r="V160" s="388"/>
      <c r="W160" s="389"/>
      <c r="X160" s="391"/>
      <c r="Y160" s="390"/>
      <c r="Z160" s="381"/>
      <c r="AA160" s="388"/>
      <c r="AB160" s="388"/>
      <c r="AC160" s="389"/>
      <c r="AD160" s="389"/>
      <c r="AE160" s="392"/>
      <c r="AF160" s="381"/>
      <c r="AG160" s="389"/>
    </row>
    <row r="161" spans="1:33" s="404" customFormat="1" ht="12.75" customHeight="1">
      <c r="A161" s="430" t="s">
        <v>145</v>
      </c>
      <c r="B161" s="525" t="s">
        <v>727</v>
      </c>
      <c r="C161" s="526" t="s">
        <v>849</v>
      </c>
      <c r="D161" s="527">
        <v>139986</v>
      </c>
      <c r="E161" s="501">
        <v>12</v>
      </c>
      <c r="F161" s="376">
        <f t="shared" si="11"/>
        <v>225842.3</v>
      </c>
      <c r="G161" s="377">
        <f t="shared" si="12"/>
        <v>256231.7</v>
      </c>
      <c r="H161" s="436">
        <f>SUM(H159:H160)</f>
        <v>187163.3</v>
      </c>
      <c r="I161" s="426">
        <v>201971.7</v>
      </c>
      <c r="J161" s="388"/>
      <c r="K161" s="390"/>
      <c r="L161" s="436">
        <f>SUM(L159:L160)</f>
        <v>38679</v>
      </c>
      <c r="M161" s="388">
        <v>0</v>
      </c>
      <c r="N161" s="388">
        <v>0</v>
      </c>
      <c r="O161" s="426">
        <v>54260</v>
      </c>
      <c r="P161" s="427">
        <v>0</v>
      </c>
      <c r="Q161" s="390"/>
      <c r="R161" s="381"/>
      <c r="S161" s="390"/>
      <c r="T161" s="383">
        <f t="shared" si="13"/>
        <v>0</v>
      </c>
      <c r="U161" s="384">
        <f t="shared" si="14"/>
        <v>0</v>
      </c>
      <c r="V161" s="388"/>
      <c r="W161" s="389"/>
      <c r="X161" s="391"/>
      <c r="Y161" s="390"/>
      <c r="Z161" s="381"/>
      <c r="AA161" s="388"/>
      <c r="AB161" s="388"/>
      <c r="AC161" s="389"/>
      <c r="AD161" s="389"/>
      <c r="AE161" s="392"/>
      <c r="AF161" s="381"/>
      <c r="AG161" s="389"/>
    </row>
    <row r="162" spans="1:33" s="404" customFormat="1" ht="12.75" customHeight="1">
      <c r="A162" s="422" t="s">
        <v>145</v>
      </c>
      <c r="B162" s="423" t="s">
        <v>156</v>
      </c>
      <c r="C162" s="423"/>
      <c r="D162" s="424">
        <v>140012</v>
      </c>
      <c r="E162" s="425">
        <v>12</v>
      </c>
      <c r="F162" s="376">
        <f t="shared" si="11"/>
        <v>229812</v>
      </c>
      <c r="G162" s="377">
        <f t="shared" si="12"/>
        <v>268300</v>
      </c>
      <c r="H162" s="388">
        <v>175979</v>
      </c>
      <c r="I162" s="426">
        <v>204070</v>
      </c>
      <c r="J162" s="388"/>
      <c r="K162" s="390"/>
      <c r="L162" s="381">
        <v>53833</v>
      </c>
      <c r="M162" s="388">
        <v>0</v>
      </c>
      <c r="N162" s="388">
        <v>0</v>
      </c>
      <c r="O162" s="426">
        <v>64230</v>
      </c>
      <c r="P162" s="427">
        <v>0</v>
      </c>
      <c r="Q162" s="390"/>
      <c r="R162" s="381"/>
      <c r="S162" s="390"/>
      <c r="T162" s="383">
        <f t="shared" si="13"/>
        <v>0</v>
      </c>
      <c r="U162" s="384">
        <f t="shared" si="14"/>
        <v>0</v>
      </c>
      <c r="V162" s="388"/>
      <c r="W162" s="389"/>
      <c r="X162" s="391"/>
      <c r="Y162" s="390"/>
      <c r="Z162" s="381"/>
      <c r="AA162" s="388"/>
      <c r="AB162" s="388"/>
      <c r="AC162" s="389"/>
      <c r="AD162" s="389"/>
      <c r="AE162" s="392"/>
      <c r="AF162" s="381"/>
      <c r="AG162" s="389"/>
    </row>
    <row r="163" spans="1:33" s="404" customFormat="1" ht="12.75" customHeight="1">
      <c r="A163" s="422" t="s">
        <v>145</v>
      </c>
      <c r="B163" s="423" t="s">
        <v>157</v>
      </c>
      <c r="C163" s="423"/>
      <c r="D163" s="424">
        <v>140076</v>
      </c>
      <c r="E163" s="425">
        <v>12</v>
      </c>
      <c r="F163" s="376">
        <f t="shared" si="11"/>
        <v>60528</v>
      </c>
      <c r="G163" s="377">
        <f t="shared" si="12"/>
        <v>68011</v>
      </c>
      <c r="H163" s="388">
        <v>53874</v>
      </c>
      <c r="I163" s="426">
        <v>61422</v>
      </c>
      <c r="J163" s="388"/>
      <c r="K163" s="390"/>
      <c r="L163" s="381">
        <v>4642</v>
      </c>
      <c r="M163" s="388">
        <v>2012</v>
      </c>
      <c r="N163" s="388">
        <v>0</v>
      </c>
      <c r="O163" s="426">
        <v>5204</v>
      </c>
      <c r="P163" s="427">
        <v>1385</v>
      </c>
      <c r="Q163" s="390"/>
      <c r="R163" s="381"/>
      <c r="S163" s="390"/>
      <c r="T163" s="383">
        <f t="shared" si="13"/>
        <v>0</v>
      </c>
      <c r="U163" s="384">
        <f t="shared" si="14"/>
        <v>0</v>
      </c>
      <c r="V163" s="388"/>
      <c r="W163" s="389"/>
      <c r="X163" s="391"/>
      <c r="Y163" s="390"/>
      <c r="Z163" s="381"/>
      <c r="AA163" s="388"/>
      <c r="AB163" s="388"/>
      <c r="AC163" s="389"/>
      <c r="AD163" s="389"/>
      <c r="AE163" s="392"/>
      <c r="AF163" s="381"/>
      <c r="AG163" s="389"/>
    </row>
    <row r="164" spans="1:33" s="404" customFormat="1" ht="12.75" customHeight="1">
      <c r="A164" s="422" t="s">
        <v>145</v>
      </c>
      <c r="B164" s="423" t="s">
        <v>158</v>
      </c>
      <c r="C164" s="423"/>
      <c r="D164" s="424">
        <v>140243</v>
      </c>
      <c r="E164" s="425">
        <v>12</v>
      </c>
      <c r="F164" s="376">
        <f t="shared" si="11"/>
        <v>136384.5</v>
      </c>
      <c r="G164" s="377">
        <f t="shared" si="12"/>
        <v>164468</v>
      </c>
      <c r="H164" s="388">
        <v>95320.5</v>
      </c>
      <c r="I164" s="426">
        <v>111210</v>
      </c>
      <c r="J164" s="388"/>
      <c r="K164" s="390"/>
      <c r="L164" s="381">
        <v>41064</v>
      </c>
      <c r="M164" s="388">
        <v>0</v>
      </c>
      <c r="N164" s="388">
        <v>0</v>
      </c>
      <c r="O164" s="426">
        <v>53258</v>
      </c>
      <c r="P164" s="427">
        <v>0</v>
      </c>
      <c r="Q164" s="390"/>
      <c r="R164" s="381"/>
      <c r="S164" s="390"/>
      <c r="T164" s="383">
        <f t="shared" si="13"/>
        <v>0</v>
      </c>
      <c r="U164" s="384">
        <f t="shared" si="14"/>
        <v>0</v>
      </c>
      <c r="V164" s="388"/>
      <c r="W164" s="389"/>
      <c r="X164" s="391"/>
      <c r="Y164" s="390"/>
      <c r="Z164" s="381"/>
      <c r="AA164" s="388"/>
      <c r="AB164" s="388"/>
      <c r="AC164" s="389"/>
      <c r="AD164" s="389"/>
      <c r="AE164" s="392"/>
      <c r="AF164" s="381"/>
      <c r="AG164" s="389"/>
    </row>
    <row r="165" spans="1:33" s="404" customFormat="1" ht="12.75" customHeight="1">
      <c r="A165" s="422" t="s">
        <v>145</v>
      </c>
      <c r="B165" s="423" t="s">
        <v>159</v>
      </c>
      <c r="C165" s="423"/>
      <c r="D165" s="424">
        <v>140085</v>
      </c>
      <c r="E165" s="425">
        <v>12</v>
      </c>
      <c r="F165" s="376">
        <f t="shared" si="11"/>
        <v>136968</v>
      </c>
      <c r="G165" s="377">
        <f t="shared" si="12"/>
        <v>176705</v>
      </c>
      <c r="H165" s="388">
        <v>110966</v>
      </c>
      <c r="I165" s="426">
        <v>140470</v>
      </c>
      <c r="J165" s="388"/>
      <c r="K165" s="390"/>
      <c r="L165" s="381">
        <v>26002</v>
      </c>
      <c r="M165" s="388">
        <v>0</v>
      </c>
      <c r="N165" s="388">
        <v>0</v>
      </c>
      <c r="O165" s="426">
        <v>36235</v>
      </c>
      <c r="P165" s="427">
        <v>0</v>
      </c>
      <c r="Q165" s="390"/>
      <c r="R165" s="381"/>
      <c r="S165" s="390"/>
      <c r="T165" s="383">
        <f t="shared" si="13"/>
        <v>0</v>
      </c>
      <c r="U165" s="384">
        <f t="shared" si="14"/>
        <v>0</v>
      </c>
      <c r="V165" s="388"/>
      <c r="W165" s="389"/>
      <c r="X165" s="391"/>
      <c r="Y165" s="390"/>
      <c r="Z165" s="381"/>
      <c r="AA165" s="388"/>
      <c r="AB165" s="388"/>
      <c r="AC165" s="389"/>
      <c r="AD165" s="389"/>
      <c r="AE165" s="392"/>
      <c r="AF165" s="381"/>
      <c r="AG165" s="389"/>
    </row>
    <row r="166" spans="1:33" s="404" customFormat="1" ht="12.75" customHeight="1">
      <c r="A166" s="422" t="s">
        <v>145</v>
      </c>
      <c r="B166" s="423" t="s">
        <v>160</v>
      </c>
      <c r="C166" s="423"/>
      <c r="D166" s="424">
        <v>140599</v>
      </c>
      <c r="E166" s="425">
        <v>12</v>
      </c>
      <c r="F166" s="376">
        <f t="shared" si="11"/>
        <v>95237</v>
      </c>
      <c r="G166" s="377">
        <f t="shared" si="12"/>
        <v>106034</v>
      </c>
      <c r="H166" s="388">
        <v>80188</v>
      </c>
      <c r="I166" s="426">
        <v>88645</v>
      </c>
      <c r="J166" s="388"/>
      <c r="K166" s="390"/>
      <c r="L166" s="381">
        <v>15049</v>
      </c>
      <c r="M166" s="388">
        <v>0</v>
      </c>
      <c r="N166" s="388">
        <v>0</v>
      </c>
      <c r="O166" s="426">
        <v>17389</v>
      </c>
      <c r="P166" s="427">
        <v>0</v>
      </c>
      <c r="Q166" s="390"/>
      <c r="R166" s="381"/>
      <c r="S166" s="390"/>
      <c r="T166" s="383">
        <f t="shared" si="13"/>
        <v>0</v>
      </c>
      <c r="U166" s="384">
        <f t="shared" si="14"/>
        <v>0</v>
      </c>
      <c r="V166" s="388"/>
      <c r="W166" s="389"/>
      <c r="X166" s="391"/>
      <c r="Y166" s="390"/>
      <c r="Z166" s="381"/>
      <c r="AA166" s="388"/>
      <c r="AB166" s="388"/>
      <c r="AC166" s="389"/>
      <c r="AD166" s="389"/>
      <c r="AE166" s="392"/>
      <c r="AF166" s="381"/>
      <c r="AG166" s="389"/>
    </row>
    <row r="167" spans="1:33" s="404" customFormat="1" ht="12.75" customHeight="1">
      <c r="A167" s="422" t="s">
        <v>145</v>
      </c>
      <c r="B167" s="423" t="s">
        <v>161</v>
      </c>
      <c r="C167" s="423"/>
      <c r="D167" s="424">
        <v>140678</v>
      </c>
      <c r="E167" s="425">
        <v>12</v>
      </c>
      <c r="F167" s="376">
        <f t="shared" si="11"/>
        <v>113701</v>
      </c>
      <c r="G167" s="377">
        <f t="shared" si="12"/>
        <v>126629</v>
      </c>
      <c r="H167" s="388">
        <v>88224</v>
      </c>
      <c r="I167" s="426">
        <v>101174</v>
      </c>
      <c r="J167" s="388"/>
      <c r="K167" s="390"/>
      <c r="L167" s="381">
        <v>21682</v>
      </c>
      <c r="M167" s="388">
        <v>3795</v>
      </c>
      <c r="N167" s="388">
        <v>0</v>
      </c>
      <c r="O167" s="426">
        <v>21270</v>
      </c>
      <c r="P167" s="427">
        <v>4185</v>
      </c>
      <c r="Q167" s="390"/>
      <c r="R167" s="381"/>
      <c r="S167" s="390"/>
      <c r="T167" s="383">
        <f t="shared" si="13"/>
        <v>0</v>
      </c>
      <c r="U167" s="384">
        <f t="shared" si="14"/>
        <v>0</v>
      </c>
      <c r="V167" s="388"/>
      <c r="W167" s="389"/>
      <c r="X167" s="391"/>
      <c r="Y167" s="390"/>
      <c r="Z167" s="381"/>
      <c r="AA167" s="388"/>
      <c r="AB167" s="388"/>
      <c r="AC167" s="389"/>
      <c r="AD167" s="389"/>
      <c r="AE167" s="392"/>
      <c r="AF167" s="381"/>
      <c r="AG167" s="389"/>
    </row>
    <row r="168" spans="1:33" s="404" customFormat="1" ht="12.75" customHeight="1">
      <c r="A168" s="422" t="s">
        <v>145</v>
      </c>
      <c r="B168" s="423" t="s">
        <v>162</v>
      </c>
      <c r="C168" s="423"/>
      <c r="D168" s="424">
        <v>366465</v>
      </c>
      <c r="E168" s="425">
        <v>12</v>
      </c>
      <c r="F168" s="376">
        <f t="shared" si="11"/>
        <v>91114</v>
      </c>
      <c r="G168" s="377">
        <f t="shared" si="12"/>
        <v>110287</v>
      </c>
      <c r="H168" s="388">
        <v>68984</v>
      </c>
      <c r="I168" s="426">
        <v>81278</v>
      </c>
      <c r="J168" s="388"/>
      <c r="K168" s="390"/>
      <c r="L168" s="381">
        <v>22130</v>
      </c>
      <c r="M168" s="388">
        <v>0</v>
      </c>
      <c r="N168" s="388">
        <v>0</v>
      </c>
      <c r="O168" s="426">
        <v>29009</v>
      </c>
      <c r="P168" s="427">
        <v>0</v>
      </c>
      <c r="Q168" s="390"/>
      <c r="R168" s="381"/>
      <c r="S168" s="390"/>
      <c r="T168" s="383">
        <f t="shared" si="13"/>
        <v>0</v>
      </c>
      <c r="U168" s="384">
        <f t="shared" si="14"/>
        <v>0</v>
      </c>
      <c r="V168" s="388"/>
      <c r="W168" s="389"/>
      <c r="X168" s="391"/>
      <c r="Y168" s="390"/>
      <c r="Z168" s="381"/>
      <c r="AA168" s="388"/>
      <c r="AB168" s="388"/>
      <c r="AC168" s="389"/>
      <c r="AD168" s="389"/>
      <c r="AE168" s="392"/>
      <c r="AF168" s="381"/>
      <c r="AG168" s="389"/>
    </row>
    <row r="169" spans="1:33" s="404" customFormat="1" ht="12.75" customHeight="1">
      <c r="A169" s="422" t="s">
        <v>145</v>
      </c>
      <c r="B169" s="423" t="s">
        <v>163</v>
      </c>
      <c r="C169" s="423"/>
      <c r="D169" s="424">
        <v>248776</v>
      </c>
      <c r="E169" s="425">
        <v>12</v>
      </c>
      <c r="F169" s="376">
        <f t="shared" si="11"/>
        <v>58188</v>
      </c>
      <c r="G169" s="377">
        <f t="shared" si="12"/>
        <v>63485.5</v>
      </c>
      <c r="H169" s="388">
        <v>53560</v>
      </c>
      <c r="I169" s="426">
        <v>57188.5</v>
      </c>
      <c r="J169" s="388"/>
      <c r="K169" s="390"/>
      <c r="L169" s="381">
        <v>4628</v>
      </c>
      <c r="M169" s="388">
        <v>0</v>
      </c>
      <c r="N169" s="388">
        <v>0</v>
      </c>
      <c r="O169" s="426">
        <v>6297</v>
      </c>
      <c r="P169" s="427">
        <v>0</v>
      </c>
      <c r="Q169" s="390"/>
      <c r="R169" s="381"/>
      <c r="S169" s="390"/>
      <c r="T169" s="383">
        <f t="shared" si="13"/>
        <v>0</v>
      </c>
      <c r="U169" s="384">
        <f t="shared" si="14"/>
        <v>0</v>
      </c>
      <c r="V169" s="388"/>
      <c r="W169" s="389"/>
      <c r="X169" s="391"/>
      <c r="Y169" s="390"/>
      <c r="Z169" s="381"/>
      <c r="AA169" s="388"/>
      <c r="AB169" s="388"/>
      <c r="AC169" s="389"/>
      <c r="AD169" s="389"/>
      <c r="AE169" s="392"/>
      <c r="AF169" s="381"/>
      <c r="AG169" s="389"/>
    </row>
    <row r="170" spans="1:33" s="404" customFormat="1" ht="12.75" customHeight="1">
      <c r="A170" s="422" t="s">
        <v>145</v>
      </c>
      <c r="B170" s="423" t="s">
        <v>164</v>
      </c>
      <c r="C170" s="423"/>
      <c r="D170" s="424">
        <v>140942</v>
      </c>
      <c r="E170" s="425">
        <v>12</v>
      </c>
      <c r="F170" s="376">
        <f t="shared" si="11"/>
        <v>196339</v>
      </c>
      <c r="G170" s="377">
        <f t="shared" si="12"/>
        <v>219242</v>
      </c>
      <c r="H170" s="388">
        <v>161430</v>
      </c>
      <c r="I170" s="426">
        <v>175478</v>
      </c>
      <c r="J170" s="388"/>
      <c r="K170" s="390"/>
      <c r="L170" s="381">
        <v>34884</v>
      </c>
      <c r="M170" s="388">
        <v>25</v>
      </c>
      <c r="N170" s="388">
        <v>0</v>
      </c>
      <c r="O170" s="426">
        <v>43764</v>
      </c>
      <c r="P170" s="427">
        <v>0</v>
      </c>
      <c r="Q170" s="390"/>
      <c r="R170" s="381"/>
      <c r="S170" s="390"/>
      <c r="T170" s="383">
        <f t="shared" si="13"/>
        <v>0</v>
      </c>
      <c r="U170" s="384">
        <f t="shared" si="14"/>
        <v>0</v>
      </c>
      <c r="V170" s="388"/>
      <c r="W170" s="389"/>
      <c r="X170" s="391"/>
      <c r="Y170" s="390"/>
      <c r="Z170" s="381"/>
      <c r="AA170" s="388"/>
      <c r="AB170" s="388"/>
      <c r="AC170" s="389"/>
      <c r="AD170" s="389"/>
      <c r="AE170" s="392"/>
      <c r="AF170" s="381"/>
      <c r="AG170" s="389"/>
    </row>
    <row r="171" spans="1:33" s="404" customFormat="1" ht="12.75" customHeight="1">
      <c r="A171" s="422" t="s">
        <v>145</v>
      </c>
      <c r="B171" s="423" t="s">
        <v>165</v>
      </c>
      <c r="C171" s="423"/>
      <c r="D171" s="424">
        <v>141006</v>
      </c>
      <c r="E171" s="425">
        <v>12</v>
      </c>
      <c r="F171" s="376">
        <f t="shared" si="11"/>
        <v>102285</v>
      </c>
      <c r="G171" s="377">
        <f t="shared" si="12"/>
        <v>121500</v>
      </c>
      <c r="H171" s="388">
        <v>90704</v>
      </c>
      <c r="I171" s="426">
        <v>103542</v>
      </c>
      <c r="J171" s="388"/>
      <c r="K171" s="390"/>
      <c r="L171" s="381">
        <v>11581</v>
      </c>
      <c r="M171" s="388">
        <v>0</v>
      </c>
      <c r="N171" s="388">
        <v>0</v>
      </c>
      <c r="O171" s="426">
        <v>17958</v>
      </c>
      <c r="P171" s="427">
        <v>0</v>
      </c>
      <c r="Q171" s="390"/>
      <c r="R171" s="381"/>
      <c r="S171" s="390"/>
      <c r="T171" s="383">
        <f t="shared" si="13"/>
        <v>0</v>
      </c>
      <c r="U171" s="384">
        <f t="shared" si="14"/>
        <v>0</v>
      </c>
      <c r="V171" s="388"/>
      <c r="W171" s="389"/>
      <c r="X171" s="391"/>
      <c r="Y171" s="390"/>
      <c r="Z171" s="381"/>
      <c r="AA171" s="388"/>
      <c r="AB171" s="388"/>
      <c r="AC171" s="389"/>
      <c r="AD171" s="389"/>
      <c r="AE171" s="392"/>
      <c r="AF171" s="381"/>
      <c r="AG171" s="389"/>
    </row>
    <row r="172" spans="1:33" s="404" customFormat="1" ht="12.75" customHeight="1">
      <c r="A172" s="422" t="s">
        <v>145</v>
      </c>
      <c r="B172" s="429" t="s">
        <v>166</v>
      </c>
      <c r="C172" s="429"/>
      <c r="D172" s="424">
        <v>368911</v>
      </c>
      <c r="E172" s="425">
        <v>12</v>
      </c>
      <c r="F172" s="376">
        <f t="shared" si="11"/>
        <v>71487</v>
      </c>
      <c r="G172" s="377">
        <f t="shared" si="12"/>
        <v>77739</v>
      </c>
      <c r="H172" s="388">
        <v>59388</v>
      </c>
      <c r="I172" s="426">
        <v>62917</v>
      </c>
      <c r="J172" s="388">
        <v>0</v>
      </c>
      <c r="K172" s="390"/>
      <c r="L172" s="381">
        <v>11767</v>
      </c>
      <c r="M172" s="388">
        <v>0</v>
      </c>
      <c r="N172" s="388">
        <v>332</v>
      </c>
      <c r="O172" s="426">
        <v>14822</v>
      </c>
      <c r="P172" s="427">
        <v>0</v>
      </c>
      <c r="Q172" s="390"/>
      <c r="R172" s="381">
        <v>0</v>
      </c>
      <c r="S172" s="390"/>
      <c r="T172" s="383">
        <f t="shared" si="13"/>
        <v>0</v>
      </c>
      <c r="U172" s="384">
        <f t="shared" si="14"/>
        <v>0</v>
      </c>
      <c r="V172" s="388"/>
      <c r="W172" s="389"/>
      <c r="X172" s="391"/>
      <c r="Y172" s="390"/>
      <c r="Z172" s="381"/>
      <c r="AA172" s="388"/>
      <c r="AB172" s="388"/>
      <c r="AC172" s="389"/>
      <c r="AD172" s="389"/>
      <c r="AE172" s="392"/>
      <c r="AF172" s="381"/>
      <c r="AG172" s="389"/>
    </row>
    <row r="173" spans="1:33" s="404" customFormat="1" ht="12.75" customHeight="1">
      <c r="A173" s="422" t="s">
        <v>145</v>
      </c>
      <c r="B173" s="429" t="s">
        <v>167</v>
      </c>
      <c r="C173" s="429"/>
      <c r="D173" s="424">
        <v>141158</v>
      </c>
      <c r="E173" s="425">
        <v>12</v>
      </c>
      <c r="F173" s="376">
        <f t="shared" si="11"/>
        <v>58063.4</v>
      </c>
      <c r="G173" s="377">
        <f t="shared" si="12"/>
        <v>63073.5</v>
      </c>
      <c r="H173" s="388">
        <v>48075.4</v>
      </c>
      <c r="I173" s="426">
        <v>51614.5</v>
      </c>
      <c r="J173" s="388"/>
      <c r="K173" s="390"/>
      <c r="L173" s="381">
        <v>9988</v>
      </c>
      <c r="M173" s="388">
        <v>0</v>
      </c>
      <c r="N173" s="388">
        <v>0</v>
      </c>
      <c r="O173" s="426">
        <v>11459</v>
      </c>
      <c r="P173" s="427">
        <v>0</v>
      </c>
      <c r="Q173" s="390"/>
      <c r="R173" s="381"/>
      <c r="S173" s="390"/>
      <c r="T173" s="383">
        <f t="shared" si="13"/>
        <v>0</v>
      </c>
      <c r="U173" s="384">
        <f t="shared" si="14"/>
        <v>0</v>
      </c>
      <c r="V173" s="388"/>
      <c r="W173" s="389"/>
      <c r="X173" s="391"/>
      <c r="Y173" s="390"/>
      <c r="Z173" s="381"/>
      <c r="AA173" s="388"/>
      <c r="AB173" s="388"/>
      <c r="AC173" s="389"/>
      <c r="AD173" s="389"/>
      <c r="AE173" s="392"/>
      <c r="AF173" s="381"/>
      <c r="AG173" s="389"/>
    </row>
    <row r="174" spans="1:33" s="404" customFormat="1" ht="12.75" customHeight="1">
      <c r="A174" s="430" t="s">
        <v>145</v>
      </c>
      <c r="B174" s="435" t="s">
        <v>154</v>
      </c>
      <c r="C174" s="435"/>
      <c r="D174" s="424">
        <v>139126</v>
      </c>
      <c r="E174" s="425">
        <v>12</v>
      </c>
      <c r="F174" s="376">
        <f t="shared" si="11"/>
        <v>64968</v>
      </c>
      <c r="G174" s="377">
        <f t="shared" si="12"/>
        <v>0</v>
      </c>
      <c r="H174" s="388">
        <v>57523</v>
      </c>
      <c r="I174" s="426"/>
      <c r="J174" s="388"/>
      <c r="K174" s="390"/>
      <c r="L174" s="381">
        <v>7445</v>
      </c>
      <c r="M174" s="388">
        <v>0</v>
      </c>
      <c r="N174" s="388">
        <v>0</v>
      </c>
      <c r="O174" s="426"/>
      <c r="P174" s="427"/>
      <c r="Q174" s="390"/>
      <c r="R174" s="381"/>
      <c r="S174" s="390"/>
      <c r="T174" s="383">
        <f t="shared" si="13"/>
        <v>0</v>
      </c>
      <c r="U174" s="384">
        <f t="shared" si="14"/>
        <v>0</v>
      </c>
      <c r="V174" s="388"/>
      <c r="W174" s="389"/>
      <c r="X174" s="391"/>
      <c r="Y174" s="390"/>
      <c r="Z174" s="381"/>
      <c r="AA174" s="388"/>
      <c r="AB174" s="388"/>
      <c r="AC174" s="389"/>
      <c r="AD174" s="389"/>
      <c r="AE174" s="392"/>
      <c r="AF174" s="381"/>
      <c r="AG174" s="389"/>
    </row>
    <row r="175" spans="1:33" s="404" customFormat="1" ht="12.75" customHeight="1">
      <c r="A175" s="422" t="s">
        <v>145</v>
      </c>
      <c r="B175" s="437" t="s">
        <v>728</v>
      </c>
      <c r="C175" s="437"/>
      <c r="D175" s="424">
        <v>141255</v>
      </c>
      <c r="E175" s="425">
        <v>12</v>
      </c>
      <c r="F175" s="376">
        <f t="shared" si="11"/>
        <v>120468</v>
      </c>
      <c r="G175" s="377">
        <f t="shared" si="12"/>
        <v>35682</v>
      </c>
      <c r="H175" s="388">
        <v>107382</v>
      </c>
      <c r="I175" s="426"/>
      <c r="J175" s="388"/>
      <c r="K175" s="390"/>
      <c r="L175" s="381">
        <v>13086</v>
      </c>
      <c r="M175" s="388">
        <v>0</v>
      </c>
      <c r="N175" s="388">
        <v>0</v>
      </c>
      <c r="O175" s="426">
        <v>35682</v>
      </c>
      <c r="P175" s="427">
        <v>0</v>
      </c>
      <c r="Q175" s="390"/>
      <c r="R175" s="381"/>
      <c r="S175" s="390"/>
      <c r="T175" s="383">
        <f t="shared" si="13"/>
        <v>0</v>
      </c>
      <c r="U175" s="384">
        <f t="shared" si="14"/>
        <v>0</v>
      </c>
      <c r="V175" s="388"/>
      <c r="W175" s="389"/>
      <c r="X175" s="391"/>
      <c r="Y175" s="390"/>
      <c r="Z175" s="381"/>
      <c r="AA175" s="388"/>
      <c r="AB175" s="388"/>
      <c r="AC175" s="389"/>
      <c r="AD175" s="389"/>
      <c r="AE175" s="392"/>
      <c r="AF175" s="381"/>
      <c r="AG175" s="389"/>
    </row>
    <row r="176" spans="1:33" s="404" customFormat="1" ht="12.75" customHeight="1">
      <c r="A176" s="422" t="s">
        <v>145</v>
      </c>
      <c r="B176" s="525" t="s">
        <v>729</v>
      </c>
      <c r="C176" s="526" t="s">
        <v>850</v>
      </c>
      <c r="D176" s="527">
        <v>141255</v>
      </c>
      <c r="E176" s="501">
        <v>12</v>
      </c>
      <c r="F176" s="376">
        <f t="shared" si="11"/>
        <v>185436</v>
      </c>
      <c r="G176" s="377">
        <f t="shared" si="12"/>
        <v>224873</v>
      </c>
      <c r="H176" s="436">
        <f>SUM(H174:H175)</f>
        <v>164905</v>
      </c>
      <c r="I176" s="426">
        <v>189191</v>
      </c>
      <c r="J176" s="388"/>
      <c r="K176" s="390"/>
      <c r="L176" s="436">
        <f>SUM(L174:L175)</f>
        <v>20531</v>
      </c>
      <c r="M176" s="388">
        <v>0</v>
      </c>
      <c r="N176" s="388">
        <v>0</v>
      </c>
      <c r="O176" s="426">
        <v>35682</v>
      </c>
      <c r="P176" s="427">
        <v>0</v>
      </c>
      <c r="Q176" s="390"/>
      <c r="R176" s="381"/>
      <c r="S176" s="390"/>
      <c r="T176" s="383">
        <f t="shared" si="13"/>
        <v>0</v>
      </c>
      <c r="U176" s="384">
        <f t="shared" si="14"/>
        <v>0</v>
      </c>
      <c r="V176" s="388"/>
      <c r="W176" s="389"/>
      <c r="X176" s="391"/>
      <c r="Y176" s="390"/>
      <c r="Z176" s="381"/>
      <c r="AA176" s="388"/>
      <c r="AB176" s="388"/>
      <c r="AC176" s="389"/>
      <c r="AD176" s="389"/>
      <c r="AE176" s="392"/>
      <c r="AF176" s="381"/>
      <c r="AG176" s="389"/>
    </row>
    <row r="177" spans="1:33" s="404" customFormat="1" ht="12.75" customHeight="1">
      <c r="A177" s="422" t="s">
        <v>145</v>
      </c>
      <c r="B177" s="429" t="s">
        <v>168</v>
      </c>
      <c r="C177" s="429"/>
      <c r="D177" s="424">
        <v>139278</v>
      </c>
      <c r="E177" s="425">
        <v>12</v>
      </c>
      <c r="F177" s="376">
        <f t="shared" si="11"/>
        <v>236439</v>
      </c>
      <c r="G177" s="377">
        <f t="shared" si="12"/>
        <v>277254</v>
      </c>
      <c r="H177" s="388">
        <v>202474</v>
      </c>
      <c r="I177" s="426">
        <v>230828</v>
      </c>
      <c r="J177" s="388">
        <v>0</v>
      </c>
      <c r="K177" s="390"/>
      <c r="L177" s="381">
        <v>33965</v>
      </c>
      <c r="M177" s="388">
        <v>0</v>
      </c>
      <c r="N177" s="388">
        <v>0</v>
      </c>
      <c r="O177" s="426">
        <v>46426</v>
      </c>
      <c r="P177" s="427">
        <v>0</v>
      </c>
      <c r="Q177" s="390"/>
      <c r="R177" s="381">
        <v>0</v>
      </c>
      <c r="S177" s="390"/>
      <c r="T177" s="383">
        <f t="shared" si="13"/>
        <v>0</v>
      </c>
      <c r="U177" s="384">
        <f t="shared" si="14"/>
        <v>0</v>
      </c>
      <c r="V177" s="388"/>
      <c r="W177" s="389"/>
      <c r="X177" s="391"/>
      <c r="Y177" s="390"/>
      <c r="Z177" s="381"/>
      <c r="AA177" s="388"/>
      <c r="AB177" s="388"/>
      <c r="AC177" s="389"/>
      <c r="AD177" s="389"/>
      <c r="AE177" s="392"/>
      <c r="AF177" s="381"/>
      <c r="AG177" s="389"/>
    </row>
    <row r="178" spans="1:33" s="404" customFormat="1" ht="12.75" customHeight="1">
      <c r="A178" s="431" t="s">
        <v>145</v>
      </c>
      <c r="B178" s="525" t="s">
        <v>169</v>
      </c>
      <c r="C178" s="526" t="s">
        <v>848</v>
      </c>
      <c r="D178" s="433">
        <v>366447</v>
      </c>
      <c r="E178" s="501">
        <v>12</v>
      </c>
      <c r="F178" s="376">
        <f t="shared" si="11"/>
        <v>46303</v>
      </c>
      <c r="G178" s="377">
        <f t="shared" si="12"/>
        <v>63704</v>
      </c>
      <c r="H178" s="388">
        <v>44400</v>
      </c>
      <c r="I178" s="426">
        <v>55399</v>
      </c>
      <c r="J178" s="388"/>
      <c r="K178" s="390"/>
      <c r="L178" s="381">
        <v>1903</v>
      </c>
      <c r="M178" s="388">
        <v>0</v>
      </c>
      <c r="N178" s="388">
        <v>0</v>
      </c>
      <c r="O178" s="426">
        <v>8305</v>
      </c>
      <c r="P178" s="427">
        <v>0</v>
      </c>
      <c r="Q178" s="390"/>
      <c r="R178" s="381"/>
      <c r="S178" s="390"/>
      <c r="T178" s="383">
        <f t="shared" si="13"/>
        <v>0</v>
      </c>
      <c r="U178" s="384">
        <f t="shared" si="14"/>
        <v>0</v>
      </c>
      <c r="V178" s="388"/>
      <c r="W178" s="389"/>
      <c r="X178" s="391"/>
      <c r="Y178" s="390"/>
      <c r="Z178" s="381"/>
      <c r="AA178" s="388"/>
      <c r="AB178" s="388"/>
      <c r="AC178" s="389"/>
      <c r="AD178" s="389"/>
      <c r="AE178" s="392"/>
      <c r="AF178" s="381"/>
      <c r="AG178" s="389"/>
    </row>
    <row r="179" spans="1:33" s="404" customFormat="1" ht="12.75" customHeight="1">
      <c r="A179" s="422" t="s">
        <v>145</v>
      </c>
      <c r="B179" s="438" t="s">
        <v>171</v>
      </c>
      <c r="C179" s="438"/>
      <c r="D179" s="424">
        <v>420431</v>
      </c>
      <c r="E179" s="425">
        <v>13</v>
      </c>
      <c r="F179" s="376">
        <f t="shared" si="11"/>
        <v>33500</v>
      </c>
      <c r="G179" s="377">
        <f t="shared" si="12"/>
        <v>37373</v>
      </c>
      <c r="H179" s="388">
        <v>31003</v>
      </c>
      <c r="I179" s="426">
        <v>31247</v>
      </c>
      <c r="J179" s="388"/>
      <c r="K179" s="390"/>
      <c r="L179" s="381">
        <v>2497</v>
      </c>
      <c r="M179" s="388">
        <v>0</v>
      </c>
      <c r="N179" s="388">
        <v>0</v>
      </c>
      <c r="O179" s="426">
        <v>6126</v>
      </c>
      <c r="P179" s="427">
        <v>0</v>
      </c>
      <c r="Q179" s="390"/>
      <c r="R179" s="381"/>
      <c r="S179" s="390"/>
      <c r="T179" s="383">
        <f t="shared" si="13"/>
        <v>0</v>
      </c>
      <c r="U179" s="384">
        <f t="shared" si="14"/>
        <v>0</v>
      </c>
      <c r="V179" s="388"/>
      <c r="W179" s="389"/>
      <c r="X179" s="391"/>
      <c r="Y179" s="390"/>
      <c r="Z179" s="381"/>
      <c r="AA179" s="388"/>
      <c r="AB179" s="388"/>
      <c r="AC179" s="389"/>
      <c r="AD179" s="389"/>
      <c r="AE179" s="392"/>
      <c r="AF179" s="381"/>
      <c r="AG179" s="389"/>
    </row>
    <row r="180" spans="1:33" s="404" customFormat="1" ht="12.75" customHeight="1">
      <c r="A180" s="440" t="s">
        <v>172</v>
      </c>
      <c r="B180" s="441" t="s">
        <v>173</v>
      </c>
      <c r="C180" s="441"/>
      <c r="D180" s="440">
        <v>157085</v>
      </c>
      <c r="E180" s="396">
        <v>1</v>
      </c>
      <c r="F180" s="376">
        <f t="shared" si="11"/>
        <v>521460</v>
      </c>
      <c r="G180" s="377">
        <f t="shared" si="12"/>
        <v>539913</v>
      </c>
      <c r="H180" s="388">
        <v>507053</v>
      </c>
      <c r="I180" s="389">
        <v>521382</v>
      </c>
      <c r="J180" s="388">
        <v>6607</v>
      </c>
      <c r="K180" s="390">
        <v>2828</v>
      </c>
      <c r="L180" s="381">
        <v>4691</v>
      </c>
      <c r="M180" s="388"/>
      <c r="N180" s="388">
        <v>3109</v>
      </c>
      <c r="O180" s="389">
        <v>13218</v>
      </c>
      <c r="P180" s="389">
        <v>1309</v>
      </c>
      <c r="Q180" s="390">
        <v>1176</v>
      </c>
      <c r="R180" s="381"/>
      <c r="S180" s="390"/>
      <c r="T180" s="383">
        <f t="shared" si="13"/>
        <v>78715</v>
      </c>
      <c r="U180" s="384">
        <f t="shared" si="14"/>
        <v>80488</v>
      </c>
      <c r="V180" s="388">
        <v>68464</v>
      </c>
      <c r="W180" s="389">
        <v>69004</v>
      </c>
      <c r="X180" s="391">
        <v>6075</v>
      </c>
      <c r="Y180" s="390">
        <v>2949</v>
      </c>
      <c r="Z180" s="381">
        <v>3832</v>
      </c>
      <c r="AA180" s="388"/>
      <c r="AB180" s="388">
        <v>344</v>
      </c>
      <c r="AC180" s="389">
        <v>7841</v>
      </c>
      <c r="AD180" s="389">
        <v>340</v>
      </c>
      <c r="AE180" s="392">
        <v>354</v>
      </c>
      <c r="AF180" s="381"/>
      <c r="AG180" s="389"/>
    </row>
    <row r="181" spans="1:33" s="404" customFormat="1" ht="12.75" customHeight="1">
      <c r="A181" s="440" t="s">
        <v>172</v>
      </c>
      <c r="B181" s="441" t="s">
        <v>174</v>
      </c>
      <c r="C181" s="441"/>
      <c r="D181" s="440">
        <v>157289</v>
      </c>
      <c r="E181" s="396">
        <v>1</v>
      </c>
      <c r="F181" s="376">
        <f t="shared" si="11"/>
        <v>389422</v>
      </c>
      <c r="G181" s="377">
        <f t="shared" si="12"/>
        <v>393895</v>
      </c>
      <c r="H181" s="388">
        <v>358440</v>
      </c>
      <c r="I181" s="389">
        <v>360400</v>
      </c>
      <c r="J181" s="388">
        <v>9780</v>
      </c>
      <c r="K181" s="390">
        <v>9053</v>
      </c>
      <c r="L181" s="381">
        <v>21202</v>
      </c>
      <c r="M181" s="388"/>
      <c r="N181" s="388">
        <v>0</v>
      </c>
      <c r="O181" s="389">
        <v>24442</v>
      </c>
      <c r="P181" s="389"/>
      <c r="Q181" s="390"/>
      <c r="R181" s="381"/>
      <c r="S181" s="390"/>
      <c r="T181" s="383">
        <f t="shared" si="13"/>
        <v>76001</v>
      </c>
      <c r="U181" s="384">
        <f t="shared" si="14"/>
        <v>78088</v>
      </c>
      <c r="V181" s="388">
        <v>68025</v>
      </c>
      <c r="W181" s="389">
        <v>69917</v>
      </c>
      <c r="X181" s="391">
        <v>3824</v>
      </c>
      <c r="Y181" s="390">
        <v>4189</v>
      </c>
      <c r="Z181" s="381">
        <v>4152</v>
      </c>
      <c r="AA181" s="388"/>
      <c r="AB181" s="388"/>
      <c r="AC181" s="389">
        <v>3982</v>
      </c>
      <c r="AD181" s="389"/>
      <c r="AE181" s="392"/>
      <c r="AF181" s="381"/>
      <c r="AG181" s="389"/>
    </row>
    <row r="182" spans="1:33" s="404" customFormat="1" ht="12.75" customHeight="1">
      <c r="A182" s="440" t="s">
        <v>172</v>
      </c>
      <c r="B182" s="441" t="s">
        <v>175</v>
      </c>
      <c r="C182" s="441"/>
      <c r="D182" s="440">
        <v>156620</v>
      </c>
      <c r="E182" s="396">
        <v>3</v>
      </c>
      <c r="F182" s="376">
        <f t="shared" si="11"/>
        <v>374976</v>
      </c>
      <c r="G182" s="377">
        <f t="shared" si="12"/>
        <v>381237</v>
      </c>
      <c r="H182" s="388">
        <v>299348</v>
      </c>
      <c r="I182" s="389">
        <v>300117</v>
      </c>
      <c r="J182" s="388">
        <v>28313</v>
      </c>
      <c r="K182" s="390">
        <v>28339</v>
      </c>
      <c r="L182" s="381">
        <v>38045</v>
      </c>
      <c r="M182" s="388">
        <v>9270</v>
      </c>
      <c r="N182" s="388">
        <v>0</v>
      </c>
      <c r="O182" s="389">
        <v>44099</v>
      </c>
      <c r="P182" s="389">
        <v>8682</v>
      </c>
      <c r="Q182" s="390"/>
      <c r="R182" s="381"/>
      <c r="S182" s="390"/>
      <c r="T182" s="383">
        <f t="shared" si="13"/>
        <v>33788</v>
      </c>
      <c r="U182" s="384">
        <f t="shared" si="14"/>
        <v>33745</v>
      </c>
      <c r="V182" s="388">
        <v>20356</v>
      </c>
      <c r="W182" s="389">
        <v>18517</v>
      </c>
      <c r="X182" s="391">
        <v>1350</v>
      </c>
      <c r="Y182" s="390">
        <v>1363</v>
      </c>
      <c r="Z182" s="381">
        <v>10843</v>
      </c>
      <c r="AA182" s="388">
        <v>1239</v>
      </c>
      <c r="AB182" s="388"/>
      <c r="AC182" s="389">
        <v>12521</v>
      </c>
      <c r="AD182" s="389">
        <v>1344</v>
      </c>
      <c r="AE182" s="392"/>
      <c r="AF182" s="381"/>
      <c r="AG182" s="389"/>
    </row>
    <row r="183" spans="1:33" s="404" customFormat="1" ht="12.75" customHeight="1">
      <c r="A183" s="440" t="s">
        <v>172</v>
      </c>
      <c r="B183" s="441" t="s">
        <v>176</v>
      </c>
      <c r="C183" s="441"/>
      <c r="D183" s="440">
        <v>157401</v>
      </c>
      <c r="E183" s="396">
        <v>3</v>
      </c>
      <c r="F183" s="376">
        <f t="shared" si="11"/>
        <v>219921</v>
      </c>
      <c r="G183" s="377">
        <f t="shared" si="12"/>
        <v>220191</v>
      </c>
      <c r="H183" s="388">
        <v>195731</v>
      </c>
      <c r="I183" s="389">
        <v>193285</v>
      </c>
      <c r="J183" s="388">
        <v>10599</v>
      </c>
      <c r="K183" s="390">
        <v>8199</v>
      </c>
      <c r="L183" s="381">
        <v>10333</v>
      </c>
      <c r="M183" s="388">
        <v>3258</v>
      </c>
      <c r="N183" s="388">
        <v>0</v>
      </c>
      <c r="O183" s="389">
        <v>12583</v>
      </c>
      <c r="P183" s="389">
        <v>6124</v>
      </c>
      <c r="Q183" s="390"/>
      <c r="R183" s="381"/>
      <c r="S183" s="390"/>
      <c r="T183" s="383">
        <f t="shared" si="13"/>
        <v>26257</v>
      </c>
      <c r="U183" s="384">
        <f t="shared" si="14"/>
        <v>29144</v>
      </c>
      <c r="V183" s="388">
        <v>15150</v>
      </c>
      <c r="W183" s="389">
        <v>16036</v>
      </c>
      <c r="X183" s="391">
        <v>4530</v>
      </c>
      <c r="Y183" s="390">
        <v>3778</v>
      </c>
      <c r="Z183" s="381">
        <v>5656</v>
      </c>
      <c r="AA183" s="388">
        <v>921</v>
      </c>
      <c r="AB183" s="388"/>
      <c r="AC183" s="389">
        <v>7401</v>
      </c>
      <c r="AD183" s="389">
        <v>1929</v>
      </c>
      <c r="AE183" s="392"/>
      <c r="AF183" s="381"/>
      <c r="AG183" s="389"/>
    </row>
    <row r="184" spans="1:33" s="404" customFormat="1" ht="12.75" customHeight="1">
      <c r="A184" s="440" t="s">
        <v>172</v>
      </c>
      <c r="B184" s="441" t="s">
        <v>177</v>
      </c>
      <c r="C184" s="441"/>
      <c r="D184" s="440">
        <v>157951</v>
      </c>
      <c r="E184" s="396">
        <v>3</v>
      </c>
      <c r="F184" s="376">
        <f t="shared" si="11"/>
        <v>452565</v>
      </c>
      <c r="G184" s="377">
        <f t="shared" si="12"/>
        <v>464035</v>
      </c>
      <c r="H184" s="388">
        <v>355401</v>
      </c>
      <c r="I184" s="389">
        <v>351307</v>
      </c>
      <c r="J184" s="388">
        <v>37230</v>
      </c>
      <c r="K184" s="390">
        <v>43182</v>
      </c>
      <c r="L184" s="381">
        <v>49524</v>
      </c>
      <c r="M184" s="388">
        <v>8638</v>
      </c>
      <c r="N184" s="388">
        <v>1772</v>
      </c>
      <c r="O184" s="389">
        <v>58991</v>
      </c>
      <c r="P184" s="389">
        <v>9208</v>
      </c>
      <c r="Q184" s="390">
        <v>1347</v>
      </c>
      <c r="R184" s="381"/>
      <c r="S184" s="390"/>
      <c r="T184" s="383">
        <f t="shared" si="13"/>
        <v>40729</v>
      </c>
      <c r="U184" s="384">
        <f t="shared" si="14"/>
        <v>44392</v>
      </c>
      <c r="V184" s="388">
        <v>19421</v>
      </c>
      <c r="W184" s="389">
        <v>20075</v>
      </c>
      <c r="X184" s="391">
        <v>2518</v>
      </c>
      <c r="Y184" s="390">
        <v>2496</v>
      </c>
      <c r="Z184" s="381">
        <v>18203</v>
      </c>
      <c r="AA184" s="388">
        <v>587</v>
      </c>
      <c r="AB184" s="388"/>
      <c r="AC184" s="389">
        <v>21169</v>
      </c>
      <c r="AD184" s="389">
        <v>636</v>
      </c>
      <c r="AE184" s="392">
        <v>16</v>
      </c>
      <c r="AF184" s="381"/>
      <c r="AG184" s="389"/>
    </row>
    <row r="185" spans="1:33" s="404" customFormat="1" ht="12.75" customHeight="1">
      <c r="A185" s="440" t="s">
        <v>172</v>
      </c>
      <c r="B185" s="528" t="s">
        <v>178</v>
      </c>
      <c r="C185" s="529" t="s">
        <v>851</v>
      </c>
      <c r="D185" s="440">
        <v>157386</v>
      </c>
      <c r="E185" s="505">
        <v>3</v>
      </c>
      <c r="F185" s="376">
        <f t="shared" si="11"/>
        <v>186130</v>
      </c>
      <c r="G185" s="377">
        <f t="shared" si="12"/>
        <v>182291</v>
      </c>
      <c r="H185" s="388">
        <v>135136</v>
      </c>
      <c r="I185" s="389">
        <v>129758</v>
      </c>
      <c r="J185" s="388">
        <v>14289</v>
      </c>
      <c r="K185" s="390">
        <v>13378</v>
      </c>
      <c r="L185" s="381">
        <v>28300</v>
      </c>
      <c r="M185" s="388">
        <v>8405</v>
      </c>
      <c r="N185" s="388">
        <v>0</v>
      </c>
      <c r="O185" s="389">
        <v>30372</v>
      </c>
      <c r="P185" s="389">
        <v>8783</v>
      </c>
      <c r="Q185" s="390"/>
      <c r="R185" s="381"/>
      <c r="S185" s="390"/>
      <c r="T185" s="383">
        <f t="shared" si="13"/>
        <v>19311</v>
      </c>
      <c r="U185" s="384">
        <f t="shared" si="14"/>
        <v>19998</v>
      </c>
      <c r="V185" s="388">
        <v>5412</v>
      </c>
      <c r="W185" s="389">
        <v>5255</v>
      </c>
      <c r="X185" s="391">
        <v>642</v>
      </c>
      <c r="Y185" s="390">
        <v>378</v>
      </c>
      <c r="Z185" s="381">
        <v>12519</v>
      </c>
      <c r="AA185" s="388">
        <v>738</v>
      </c>
      <c r="AB185" s="388"/>
      <c r="AC185" s="389">
        <v>13378</v>
      </c>
      <c r="AD185" s="389">
        <v>987</v>
      </c>
      <c r="AE185" s="392"/>
      <c r="AF185" s="381"/>
      <c r="AG185" s="389"/>
    </row>
    <row r="186" spans="1:33" s="404" customFormat="1" ht="12.75" customHeight="1">
      <c r="A186" s="440" t="s">
        <v>172</v>
      </c>
      <c r="B186" s="441" t="s">
        <v>179</v>
      </c>
      <c r="C186" s="441"/>
      <c r="D186" s="440">
        <v>157447</v>
      </c>
      <c r="E186" s="396">
        <v>4</v>
      </c>
      <c r="F186" s="376">
        <f t="shared" si="11"/>
        <v>329480</v>
      </c>
      <c r="G186" s="377">
        <f t="shared" si="12"/>
        <v>331893</v>
      </c>
      <c r="H186" s="388">
        <v>289848</v>
      </c>
      <c r="I186" s="389">
        <v>286917</v>
      </c>
      <c r="J186" s="388">
        <v>14100</v>
      </c>
      <c r="K186" s="390">
        <v>13733</v>
      </c>
      <c r="L186" s="381">
        <v>25532</v>
      </c>
      <c r="M186" s="388"/>
      <c r="N186" s="388">
        <v>0</v>
      </c>
      <c r="O186" s="389">
        <v>31243</v>
      </c>
      <c r="P186" s="389"/>
      <c r="Q186" s="390"/>
      <c r="R186" s="381"/>
      <c r="S186" s="390"/>
      <c r="T186" s="383">
        <f t="shared" si="13"/>
        <v>35949</v>
      </c>
      <c r="U186" s="384">
        <f t="shared" si="14"/>
        <v>37581</v>
      </c>
      <c r="V186" s="388">
        <v>28331</v>
      </c>
      <c r="W186" s="389">
        <v>29269</v>
      </c>
      <c r="X186" s="391">
        <v>1087</v>
      </c>
      <c r="Y186" s="390">
        <v>1026</v>
      </c>
      <c r="Z186" s="381">
        <v>6531</v>
      </c>
      <c r="AA186" s="388"/>
      <c r="AB186" s="388"/>
      <c r="AC186" s="389">
        <v>7286</v>
      </c>
      <c r="AD186" s="389"/>
      <c r="AE186" s="392"/>
      <c r="AF186" s="381"/>
      <c r="AG186" s="389"/>
    </row>
    <row r="187" spans="1:33" s="404" customFormat="1" ht="12.75" customHeight="1">
      <c r="A187" s="440" t="s">
        <v>172</v>
      </c>
      <c r="B187" s="528" t="s">
        <v>180</v>
      </c>
      <c r="C187" s="529" t="s">
        <v>852</v>
      </c>
      <c r="D187" s="440">
        <v>157058</v>
      </c>
      <c r="E187" s="505">
        <v>4</v>
      </c>
      <c r="F187" s="376">
        <f t="shared" si="11"/>
        <v>63153</v>
      </c>
      <c r="G187" s="377">
        <f t="shared" si="12"/>
        <v>66536</v>
      </c>
      <c r="H187" s="388">
        <v>56285</v>
      </c>
      <c r="I187" s="389">
        <v>57442</v>
      </c>
      <c r="J187" s="388"/>
      <c r="K187" s="390"/>
      <c r="L187" s="381">
        <v>6868</v>
      </c>
      <c r="M187" s="388">
        <v>0</v>
      </c>
      <c r="N187" s="388"/>
      <c r="O187" s="389">
        <v>9085</v>
      </c>
      <c r="P187" s="389"/>
      <c r="Q187" s="390">
        <v>9</v>
      </c>
      <c r="R187" s="381"/>
      <c r="S187" s="390"/>
      <c r="T187" s="383">
        <f t="shared" si="13"/>
        <v>2647</v>
      </c>
      <c r="U187" s="384">
        <f t="shared" si="14"/>
        <v>3518</v>
      </c>
      <c r="V187" s="388">
        <v>1354</v>
      </c>
      <c r="W187" s="389">
        <v>1808</v>
      </c>
      <c r="X187" s="391"/>
      <c r="Y187" s="390"/>
      <c r="Z187" s="381">
        <v>1293</v>
      </c>
      <c r="AA187" s="388"/>
      <c r="AB187" s="388"/>
      <c r="AC187" s="389">
        <v>1710</v>
      </c>
      <c r="AD187" s="389"/>
      <c r="AE187" s="392"/>
      <c r="AF187" s="381"/>
      <c r="AG187" s="389"/>
    </row>
    <row r="188" spans="1:33" s="404" customFormat="1" ht="12.75" customHeight="1">
      <c r="A188" s="440" t="s">
        <v>172</v>
      </c>
      <c r="B188" s="441" t="s">
        <v>181</v>
      </c>
      <c r="C188" s="441"/>
      <c r="D188" s="440">
        <v>157173</v>
      </c>
      <c r="E188" s="396">
        <v>8</v>
      </c>
      <c r="F188" s="376">
        <f t="shared" si="11"/>
        <v>252253</v>
      </c>
      <c r="G188" s="377">
        <f t="shared" si="12"/>
        <v>279169</v>
      </c>
      <c r="H188" s="388">
        <v>169193</v>
      </c>
      <c r="I188" s="389">
        <v>179183</v>
      </c>
      <c r="J188" s="388">
        <v>22531</v>
      </c>
      <c r="K188" s="390">
        <v>28605</v>
      </c>
      <c r="L188" s="381">
        <v>59368</v>
      </c>
      <c r="M188" s="388">
        <v>1161</v>
      </c>
      <c r="N188" s="388">
        <v>0</v>
      </c>
      <c r="O188" s="389">
        <v>70516</v>
      </c>
      <c r="P188" s="389">
        <v>865</v>
      </c>
      <c r="Q188" s="390"/>
      <c r="R188" s="381"/>
      <c r="S188" s="390"/>
      <c r="T188" s="383">
        <f t="shared" si="13"/>
        <v>0</v>
      </c>
      <c r="U188" s="384">
        <f t="shared" si="14"/>
        <v>0</v>
      </c>
      <c r="V188" s="388"/>
      <c r="W188" s="389"/>
      <c r="X188" s="391"/>
      <c r="Y188" s="390"/>
      <c r="Z188" s="381"/>
      <c r="AA188" s="388"/>
      <c r="AB188" s="388"/>
      <c r="AC188" s="389"/>
      <c r="AD188" s="389"/>
      <c r="AE188" s="392"/>
      <c r="AF188" s="381"/>
      <c r="AG188" s="389"/>
    </row>
    <row r="189" spans="1:33" s="404" customFormat="1" ht="12.75" customHeight="1">
      <c r="A189" s="440" t="s">
        <v>172</v>
      </c>
      <c r="B189" s="441" t="s">
        <v>182</v>
      </c>
      <c r="C189" s="441"/>
      <c r="D189" s="440">
        <v>156921</v>
      </c>
      <c r="E189" s="396">
        <v>8</v>
      </c>
      <c r="F189" s="376">
        <f t="shared" si="11"/>
        <v>256566</v>
      </c>
      <c r="G189" s="377">
        <f t="shared" si="12"/>
        <v>274026</v>
      </c>
      <c r="H189" s="388">
        <v>198304</v>
      </c>
      <c r="I189" s="389">
        <v>212295</v>
      </c>
      <c r="J189" s="388">
        <v>15415</v>
      </c>
      <c r="K189" s="390">
        <v>14192</v>
      </c>
      <c r="L189" s="381">
        <v>41607</v>
      </c>
      <c r="M189" s="388">
        <v>1240</v>
      </c>
      <c r="N189" s="388">
        <v>0</v>
      </c>
      <c r="O189" s="389">
        <v>46980</v>
      </c>
      <c r="P189" s="389">
        <v>559</v>
      </c>
      <c r="Q189" s="390"/>
      <c r="R189" s="381"/>
      <c r="S189" s="390"/>
      <c r="T189" s="383">
        <f t="shared" si="13"/>
        <v>0</v>
      </c>
      <c r="U189" s="384">
        <f t="shared" si="14"/>
        <v>0</v>
      </c>
      <c r="V189" s="388"/>
      <c r="W189" s="389"/>
      <c r="X189" s="391"/>
      <c r="Y189" s="390"/>
      <c r="Z189" s="381"/>
      <c r="AA189" s="388"/>
      <c r="AB189" s="388"/>
      <c r="AC189" s="389"/>
      <c r="AD189" s="389"/>
      <c r="AE189" s="392"/>
      <c r="AF189" s="381"/>
      <c r="AG189" s="389"/>
    </row>
    <row r="190" spans="1:33" s="404" customFormat="1" ht="12.75" customHeight="1">
      <c r="A190" s="440" t="s">
        <v>172</v>
      </c>
      <c r="B190" s="441" t="s">
        <v>183</v>
      </c>
      <c r="C190" s="441"/>
      <c r="D190" s="440">
        <v>156231</v>
      </c>
      <c r="E190" s="396">
        <v>9</v>
      </c>
      <c r="F190" s="376">
        <f t="shared" si="11"/>
        <v>75116</v>
      </c>
      <c r="G190" s="377">
        <f t="shared" si="12"/>
        <v>86918</v>
      </c>
      <c r="H190" s="388">
        <v>53014</v>
      </c>
      <c r="I190" s="389">
        <v>59880</v>
      </c>
      <c r="J190" s="388">
        <v>9012</v>
      </c>
      <c r="K190" s="390">
        <v>9337</v>
      </c>
      <c r="L190" s="381">
        <v>13090</v>
      </c>
      <c r="M190" s="388"/>
      <c r="N190" s="388">
        <v>0</v>
      </c>
      <c r="O190" s="389">
        <v>17701</v>
      </c>
      <c r="P190" s="389"/>
      <c r="Q190" s="390"/>
      <c r="R190" s="381"/>
      <c r="S190" s="390"/>
      <c r="T190" s="383">
        <f t="shared" si="13"/>
        <v>0</v>
      </c>
      <c r="U190" s="384">
        <f t="shared" si="14"/>
        <v>0</v>
      </c>
      <c r="V190" s="388"/>
      <c r="W190" s="389"/>
      <c r="X190" s="391"/>
      <c r="Y190" s="390"/>
      <c r="Z190" s="381"/>
      <c r="AA190" s="388"/>
      <c r="AB190" s="388"/>
      <c r="AC190" s="389"/>
      <c r="AD190" s="389"/>
      <c r="AE190" s="392"/>
      <c r="AF190" s="381"/>
      <c r="AG190" s="389"/>
    </row>
    <row r="191" spans="1:33" s="404" customFormat="1" ht="12.75" customHeight="1">
      <c r="A191" s="440" t="s">
        <v>172</v>
      </c>
      <c r="B191" s="441" t="s">
        <v>184</v>
      </c>
      <c r="C191" s="441"/>
      <c r="D191" s="405">
        <v>157553</v>
      </c>
      <c r="E191" s="396">
        <v>9</v>
      </c>
      <c r="F191" s="376">
        <f t="shared" si="11"/>
        <v>82437</v>
      </c>
      <c r="G191" s="377">
        <f t="shared" si="12"/>
        <v>93039</v>
      </c>
      <c r="H191" s="388">
        <v>36329</v>
      </c>
      <c r="I191" s="389">
        <v>41460</v>
      </c>
      <c r="J191" s="388">
        <v>9650</v>
      </c>
      <c r="K191" s="390">
        <v>11014</v>
      </c>
      <c r="L191" s="381">
        <v>35927</v>
      </c>
      <c r="M191" s="388">
        <v>531</v>
      </c>
      <c r="N191" s="388"/>
      <c r="O191" s="389">
        <v>40023</v>
      </c>
      <c r="P191" s="389">
        <v>542</v>
      </c>
      <c r="Q191" s="390"/>
      <c r="R191" s="381"/>
      <c r="S191" s="390"/>
      <c r="T191" s="383">
        <f t="shared" si="13"/>
        <v>0</v>
      </c>
      <c r="U191" s="384">
        <f t="shared" si="14"/>
        <v>0</v>
      </c>
      <c r="V191" s="388"/>
      <c r="W191" s="389"/>
      <c r="X191" s="391"/>
      <c r="Y191" s="390"/>
      <c r="Z191" s="381"/>
      <c r="AA191" s="388"/>
      <c r="AB191" s="388"/>
      <c r="AC191" s="389"/>
      <c r="AD191" s="389"/>
      <c r="AE191" s="392"/>
      <c r="AF191" s="381"/>
      <c r="AG191" s="389"/>
    </row>
    <row r="192" spans="1:33" s="404" customFormat="1" ht="12.75" customHeight="1">
      <c r="A192" s="440" t="s">
        <v>172</v>
      </c>
      <c r="B192" s="441" t="s">
        <v>185</v>
      </c>
      <c r="C192" s="441"/>
      <c r="D192" s="405">
        <v>156648</v>
      </c>
      <c r="E192" s="396">
        <v>9</v>
      </c>
      <c r="F192" s="376">
        <f t="shared" si="11"/>
        <v>111450</v>
      </c>
      <c r="G192" s="377">
        <f t="shared" si="12"/>
        <v>129073</v>
      </c>
      <c r="H192" s="388">
        <v>87040</v>
      </c>
      <c r="I192" s="389">
        <v>98838</v>
      </c>
      <c r="J192" s="388">
        <v>2835</v>
      </c>
      <c r="K192" s="390">
        <v>2322</v>
      </c>
      <c r="L192" s="381">
        <v>21575</v>
      </c>
      <c r="M192" s="388">
        <v>0</v>
      </c>
      <c r="N192" s="388"/>
      <c r="O192" s="389">
        <v>27913</v>
      </c>
      <c r="P192" s="389"/>
      <c r="Q192" s="390"/>
      <c r="R192" s="381"/>
      <c r="S192" s="390"/>
      <c r="T192" s="383">
        <f t="shared" si="13"/>
        <v>0</v>
      </c>
      <c r="U192" s="384">
        <f t="shared" si="14"/>
        <v>0</v>
      </c>
      <c r="V192" s="388"/>
      <c r="W192" s="389"/>
      <c r="X192" s="391"/>
      <c r="Y192" s="390"/>
      <c r="Z192" s="381"/>
      <c r="AA192" s="388"/>
      <c r="AB192" s="388"/>
      <c r="AC192" s="389"/>
      <c r="AD192" s="389"/>
      <c r="AE192" s="392"/>
      <c r="AF192" s="381"/>
      <c r="AG192" s="389"/>
    </row>
    <row r="193" spans="1:33" s="404" customFormat="1" ht="12.75" customHeight="1">
      <c r="A193" s="405" t="s">
        <v>172</v>
      </c>
      <c r="B193" s="406" t="s">
        <v>186</v>
      </c>
      <c r="C193" s="406"/>
      <c r="D193" s="405">
        <v>157304</v>
      </c>
      <c r="E193" s="407">
        <v>9</v>
      </c>
      <c r="F193" s="376">
        <f t="shared" si="11"/>
        <v>64167</v>
      </c>
      <c r="G193" s="377">
        <f t="shared" si="12"/>
        <v>64799</v>
      </c>
      <c r="H193" s="388">
        <v>56324</v>
      </c>
      <c r="I193" s="389">
        <v>53693</v>
      </c>
      <c r="J193" s="388">
        <v>251</v>
      </c>
      <c r="K193" s="390">
        <v>483</v>
      </c>
      <c r="L193" s="381">
        <v>7553</v>
      </c>
      <c r="M193" s="388">
        <v>39</v>
      </c>
      <c r="N193" s="388">
        <v>0</v>
      </c>
      <c r="O193" s="389">
        <v>10623</v>
      </c>
      <c r="P193" s="389"/>
      <c r="Q193" s="390"/>
      <c r="R193" s="381"/>
      <c r="S193" s="390"/>
      <c r="T193" s="383">
        <f t="shared" si="13"/>
        <v>0</v>
      </c>
      <c r="U193" s="384">
        <f t="shared" si="14"/>
        <v>0</v>
      </c>
      <c r="V193" s="388"/>
      <c r="W193" s="389"/>
      <c r="X193" s="391"/>
      <c r="Y193" s="390"/>
      <c r="Z193" s="381"/>
      <c r="AA193" s="388"/>
      <c r="AB193" s="388"/>
      <c r="AC193" s="389"/>
      <c r="AD193" s="389"/>
      <c r="AE193" s="392"/>
      <c r="AF193" s="381"/>
      <c r="AG193" s="389"/>
    </row>
    <row r="194" spans="1:33" s="404" customFormat="1" ht="12.75" customHeight="1">
      <c r="A194" s="405" t="s">
        <v>172</v>
      </c>
      <c r="B194" s="406" t="s">
        <v>187</v>
      </c>
      <c r="C194" s="406"/>
      <c r="D194" s="405">
        <v>157331</v>
      </c>
      <c r="E194" s="407">
        <v>9</v>
      </c>
      <c r="F194" s="376">
        <f t="shared" si="11"/>
        <v>87464</v>
      </c>
      <c r="G194" s="377">
        <f t="shared" si="12"/>
        <v>101898</v>
      </c>
      <c r="H194" s="388">
        <v>33136</v>
      </c>
      <c r="I194" s="389">
        <v>35727</v>
      </c>
      <c r="J194" s="388">
        <v>12604</v>
      </c>
      <c r="K194" s="390">
        <v>15957</v>
      </c>
      <c r="L194" s="381">
        <v>40068</v>
      </c>
      <c r="M194" s="388">
        <v>1656</v>
      </c>
      <c r="N194" s="388"/>
      <c r="O194" s="389">
        <v>47911</v>
      </c>
      <c r="P194" s="389">
        <v>2303</v>
      </c>
      <c r="Q194" s="390"/>
      <c r="R194" s="381"/>
      <c r="S194" s="390"/>
      <c r="T194" s="383">
        <f t="shared" si="13"/>
        <v>0</v>
      </c>
      <c r="U194" s="384">
        <f t="shared" si="14"/>
        <v>0</v>
      </c>
      <c r="V194" s="388"/>
      <c r="W194" s="389"/>
      <c r="X194" s="391"/>
      <c r="Y194" s="390"/>
      <c r="Z194" s="381"/>
      <c r="AA194" s="388"/>
      <c r="AB194" s="388"/>
      <c r="AC194" s="389"/>
      <c r="AD194" s="389"/>
      <c r="AE194" s="392"/>
      <c r="AF194" s="381"/>
      <c r="AG194" s="389"/>
    </row>
    <row r="195" spans="1:33" s="404" customFormat="1" ht="12.75" customHeight="1">
      <c r="A195" s="440" t="s">
        <v>172</v>
      </c>
      <c r="B195" s="441" t="s">
        <v>188</v>
      </c>
      <c r="C195" s="441"/>
      <c r="D195" s="405">
        <v>247940</v>
      </c>
      <c r="E195" s="396">
        <v>9</v>
      </c>
      <c r="F195" s="376">
        <f t="shared" si="11"/>
        <v>89523</v>
      </c>
      <c r="G195" s="377">
        <f t="shared" si="12"/>
        <v>98974</v>
      </c>
      <c r="H195" s="388">
        <v>81197</v>
      </c>
      <c r="I195" s="389">
        <v>88307</v>
      </c>
      <c r="J195" s="388">
        <v>775</v>
      </c>
      <c r="K195" s="390">
        <v>820</v>
      </c>
      <c r="L195" s="381">
        <v>7551</v>
      </c>
      <c r="M195" s="388"/>
      <c r="N195" s="388">
        <v>0</v>
      </c>
      <c r="O195" s="389">
        <v>9847</v>
      </c>
      <c r="P195" s="389"/>
      <c r="Q195" s="390"/>
      <c r="R195" s="381"/>
      <c r="S195" s="390"/>
      <c r="T195" s="383">
        <f t="shared" si="13"/>
        <v>0</v>
      </c>
      <c r="U195" s="384">
        <f t="shared" si="14"/>
        <v>0</v>
      </c>
      <c r="V195" s="388"/>
      <c r="W195" s="389"/>
      <c r="X195" s="391"/>
      <c r="Y195" s="390"/>
      <c r="Z195" s="381"/>
      <c r="AA195" s="388"/>
      <c r="AB195" s="388"/>
      <c r="AC195" s="389"/>
      <c r="AD195" s="389"/>
      <c r="AE195" s="392"/>
      <c r="AF195" s="381"/>
      <c r="AG195" s="389"/>
    </row>
    <row r="196" spans="1:33" s="404" customFormat="1" ht="12.75" customHeight="1">
      <c r="A196" s="440" t="s">
        <v>172</v>
      </c>
      <c r="B196" s="441" t="s">
        <v>189</v>
      </c>
      <c r="C196" s="441"/>
      <c r="D196" s="405">
        <v>157711</v>
      </c>
      <c r="E196" s="396">
        <v>9</v>
      </c>
      <c r="F196" s="376">
        <f t="shared" si="11"/>
        <v>130919</v>
      </c>
      <c r="G196" s="377">
        <f t="shared" si="12"/>
        <v>164331</v>
      </c>
      <c r="H196" s="388">
        <v>92916</v>
      </c>
      <c r="I196" s="389">
        <v>102798</v>
      </c>
      <c r="J196" s="388">
        <v>4297</v>
      </c>
      <c r="K196" s="390">
        <v>5810</v>
      </c>
      <c r="L196" s="381">
        <v>27523</v>
      </c>
      <c r="M196" s="388">
        <v>6183</v>
      </c>
      <c r="N196" s="388">
        <v>0</v>
      </c>
      <c r="O196" s="389">
        <v>48956</v>
      </c>
      <c r="P196" s="389">
        <v>6767</v>
      </c>
      <c r="Q196" s="390"/>
      <c r="R196" s="381"/>
      <c r="S196" s="390"/>
      <c r="T196" s="383">
        <f t="shared" si="13"/>
        <v>0</v>
      </c>
      <c r="U196" s="384">
        <f t="shared" si="14"/>
        <v>0</v>
      </c>
      <c r="V196" s="388"/>
      <c r="W196" s="389"/>
      <c r="X196" s="391"/>
      <c r="Y196" s="390"/>
      <c r="Z196" s="381"/>
      <c r="AA196" s="388"/>
      <c r="AB196" s="388"/>
      <c r="AC196" s="389"/>
      <c r="AD196" s="389"/>
      <c r="AE196" s="392"/>
      <c r="AF196" s="381"/>
      <c r="AG196" s="389"/>
    </row>
    <row r="197" spans="1:33" s="404" customFormat="1" ht="12.75" customHeight="1">
      <c r="A197" s="440" t="s">
        <v>172</v>
      </c>
      <c r="B197" s="441" t="s">
        <v>190</v>
      </c>
      <c r="C197" s="530" t="s">
        <v>853</v>
      </c>
      <c r="D197" s="405">
        <v>157739</v>
      </c>
      <c r="E197" s="396">
        <v>9</v>
      </c>
      <c r="F197" s="376">
        <f t="shared" si="11"/>
        <v>66403</v>
      </c>
      <c r="G197" s="377">
        <f t="shared" si="12"/>
        <v>76086</v>
      </c>
      <c r="H197" s="388">
        <v>24532</v>
      </c>
      <c r="I197" s="389">
        <v>26164</v>
      </c>
      <c r="J197" s="388">
        <v>25438</v>
      </c>
      <c r="K197" s="390">
        <v>28175</v>
      </c>
      <c r="L197" s="381">
        <v>14928</v>
      </c>
      <c r="M197" s="388">
        <v>1505</v>
      </c>
      <c r="N197" s="388">
        <v>0</v>
      </c>
      <c r="O197" s="389">
        <v>18930</v>
      </c>
      <c r="P197" s="389">
        <v>2817</v>
      </c>
      <c r="Q197" s="390"/>
      <c r="R197" s="381"/>
      <c r="S197" s="390"/>
      <c r="T197" s="383">
        <f t="shared" si="13"/>
        <v>0</v>
      </c>
      <c r="U197" s="384">
        <f t="shared" si="14"/>
        <v>0</v>
      </c>
      <c r="V197" s="388"/>
      <c r="W197" s="389"/>
      <c r="X197" s="391"/>
      <c r="Y197" s="390"/>
      <c r="Z197" s="381"/>
      <c r="AA197" s="388"/>
      <c r="AB197" s="388"/>
      <c r="AC197" s="389"/>
      <c r="AD197" s="389"/>
      <c r="AE197" s="392"/>
      <c r="AF197" s="381"/>
      <c r="AG197" s="389"/>
    </row>
    <row r="198" spans="1:33" s="404" customFormat="1" ht="12.75" customHeight="1">
      <c r="A198" s="440" t="s">
        <v>172</v>
      </c>
      <c r="B198" s="441" t="s">
        <v>191</v>
      </c>
      <c r="C198" s="441"/>
      <c r="D198" s="405">
        <v>157483</v>
      </c>
      <c r="E198" s="396">
        <v>9</v>
      </c>
      <c r="F198" s="376">
        <f t="shared" si="11"/>
        <v>107791</v>
      </c>
      <c r="G198" s="377">
        <f t="shared" si="12"/>
        <v>122445</v>
      </c>
      <c r="H198" s="388">
        <v>75568</v>
      </c>
      <c r="I198" s="389">
        <v>81396</v>
      </c>
      <c r="J198" s="388">
        <v>3177</v>
      </c>
      <c r="K198" s="390">
        <v>2607</v>
      </c>
      <c r="L198" s="381">
        <v>28658</v>
      </c>
      <c r="M198" s="388">
        <v>388</v>
      </c>
      <c r="N198" s="388"/>
      <c r="O198" s="389">
        <v>38046</v>
      </c>
      <c r="P198" s="389">
        <v>396</v>
      </c>
      <c r="Q198" s="390"/>
      <c r="R198" s="381"/>
      <c r="S198" s="390"/>
      <c r="T198" s="383">
        <f t="shared" si="13"/>
        <v>0</v>
      </c>
      <c r="U198" s="384">
        <f t="shared" si="14"/>
        <v>0</v>
      </c>
      <c r="V198" s="388"/>
      <c r="W198" s="389"/>
      <c r="X198" s="391"/>
      <c r="Y198" s="390"/>
      <c r="Z198" s="381"/>
      <c r="AA198" s="388"/>
      <c r="AB198" s="388"/>
      <c r="AC198" s="389"/>
      <c r="AD198" s="389"/>
      <c r="AE198" s="392"/>
      <c r="AF198" s="381"/>
      <c r="AG198" s="389"/>
    </row>
    <row r="199" spans="1:33" s="404" customFormat="1" ht="12.75" customHeight="1">
      <c r="A199" s="405" t="s">
        <v>172</v>
      </c>
      <c r="B199" s="441" t="s">
        <v>192</v>
      </c>
      <c r="C199" s="530" t="s">
        <v>853</v>
      </c>
      <c r="D199" s="405">
        <v>156790</v>
      </c>
      <c r="E199" s="396">
        <v>10</v>
      </c>
      <c r="F199" s="376">
        <f t="shared" si="11"/>
        <v>58419</v>
      </c>
      <c r="G199" s="377">
        <f t="shared" si="12"/>
        <v>69676</v>
      </c>
      <c r="H199" s="388">
        <v>44466</v>
      </c>
      <c r="I199" s="389">
        <v>50684</v>
      </c>
      <c r="J199" s="388">
        <v>343</v>
      </c>
      <c r="K199" s="390">
        <v>336</v>
      </c>
      <c r="L199" s="381">
        <v>12262</v>
      </c>
      <c r="M199" s="388">
        <v>1348</v>
      </c>
      <c r="N199" s="388"/>
      <c r="O199" s="389">
        <v>16928</v>
      </c>
      <c r="P199" s="389">
        <v>1728</v>
      </c>
      <c r="Q199" s="390"/>
      <c r="R199" s="381"/>
      <c r="S199" s="390"/>
      <c r="T199" s="383">
        <f t="shared" si="13"/>
        <v>0</v>
      </c>
      <c r="U199" s="384">
        <f t="shared" si="14"/>
        <v>0</v>
      </c>
      <c r="V199" s="388"/>
      <c r="W199" s="389"/>
      <c r="X199" s="391"/>
      <c r="Y199" s="390"/>
      <c r="Z199" s="381"/>
      <c r="AA199" s="388"/>
      <c r="AB199" s="388"/>
      <c r="AC199" s="389"/>
      <c r="AD199" s="389"/>
      <c r="AE199" s="392"/>
      <c r="AF199" s="381"/>
      <c r="AG199" s="389"/>
    </row>
    <row r="200" spans="1:33" s="404" customFormat="1" ht="12.75" customHeight="1">
      <c r="A200" s="440" t="s">
        <v>172</v>
      </c>
      <c r="B200" s="441" t="s">
        <v>193</v>
      </c>
      <c r="C200" s="441"/>
      <c r="D200" s="405">
        <v>156851</v>
      </c>
      <c r="E200" s="396">
        <v>10</v>
      </c>
      <c r="F200" s="376">
        <f t="shared" ref="F200:F263" si="15">SUM(H200,J200,L200,M200,N200,R200)</f>
        <v>40244</v>
      </c>
      <c r="G200" s="377">
        <f t="shared" ref="G200:G263" si="16">SUM(I200,K200,O200,P200,Q200,S200)</f>
        <v>45194</v>
      </c>
      <c r="H200" s="388">
        <v>24759</v>
      </c>
      <c r="I200" s="389">
        <v>26790</v>
      </c>
      <c r="J200" s="388">
        <v>567</v>
      </c>
      <c r="K200" s="390">
        <v>939</v>
      </c>
      <c r="L200" s="381">
        <v>14571</v>
      </c>
      <c r="M200" s="388">
        <v>347</v>
      </c>
      <c r="N200" s="388"/>
      <c r="O200" s="389">
        <v>17071</v>
      </c>
      <c r="P200" s="389">
        <v>394</v>
      </c>
      <c r="Q200" s="390"/>
      <c r="R200" s="381"/>
      <c r="S200" s="390"/>
      <c r="T200" s="383">
        <f t="shared" ref="T200:T263" si="17">SUM(V200,X200,Z200,AA200,AB200,AF200)</f>
        <v>0</v>
      </c>
      <c r="U200" s="384">
        <f t="shared" ref="U200:U263" si="18">SUM(W200,Y200,AC200,AD200,AE200,AG200)</f>
        <v>0</v>
      </c>
      <c r="V200" s="388"/>
      <c r="W200" s="389"/>
      <c r="X200" s="391"/>
      <c r="Y200" s="390"/>
      <c r="Z200" s="381"/>
      <c r="AA200" s="388"/>
      <c r="AB200" s="388"/>
      <c r="AC200" s="389"/>
      <c r="AD200" s="389"/>
      <c r="AE200" s="392"/>
      <c r="AF200" s="381"/>
      <c r="AG200" s="389"/>
    </row>
    <row r="201" spans="1:33" s="404" customFormat="1" ht="12.75" customHeight="1">
      <c r="A201" s="440" t="s">
        <v>172</v>
      </c>
      <c r="B201" s="441" t="s">
        <v>194</v>
      </c>
      <c r="C201" s="530" t="s">
        <v>842</v>
      </c>
      <c r="D201" s="405">
        <v>156860</v>
      </c>
      <c r="E201" s="396">
        <v>10</v>
      </c>
      <c r="F201" s="376">
        <f t="shared" si="15"/>
        <v>69001</v>
      </c>
      <c r="G201" s="377">
        <f t="shared" si="16"/>
        <v>75637</v>
      </c>
      <c r="H201" s="388">
        <v>51219</v>
      </c>
      <c r="I201" s="389">
        <v>55330</v>
      </c>
      <c r="J201" s="388">
        <v>3051</v>
      </c>
      <c r="K201" s="390">
        <v>2945</v>
      </c>
      <c r="L201" s="381">
        <v>14731</v>
      </c>
      <c r="M201" s="388"/>
      <c r="N201" s="388"/>
      <c r="O201" s="389">
        <v>17362</v>
      </c>
      <c r="P201" s="389"/>
      <c r="Q201" s="390"/>
      <c r="R201" s="381"/>
      <c r="S201" s="390"/>
      <c r="T201" s="383">
        <f t="shared" si="17"/>
        <v>0</v>
      </c>
      <c r="U201" s="384">
        <f t="shared" si="18"/>
        <v>0</v>
      </c>
      <c r="V201" s="388"/>
      <c r="W201" s="389"/>
      <c r="X201" s="391"/>
      <c r="Y201" s="390"/>
      <c r="Z201" s="381"/>
      <c r="AA201" s="388"/>
      <c r="AB201" s="388"/>
      <c r="AC201" s="389"/>
      <c r="AD201" s="389"/>
      <c r="AE201" s="392"/>
      <c r="AF201" s="381"/>
      <c r="AG201" s="389"/>
    </row>
    <row r="202" spans="1:33" s="404" customFormat="1" ht="12.75" customHeight="1">
      <c r="A202" s="405" t="s">
        <v>172</v>
      </c>
      <c r="B202" s="441" t="s">
        <v>195</v>
      </c>
      <c r="C202" s="441"/>
      <c r="D202" s="405">
        <v>156338</v>
      </c>
      <c r="E202" s="396">
        <v>12</v>
      </c>
      <c r="F202" s="376">
        <f t="shared" si="15"/>
        <v>51294</v>
      </c>
      <c r="G202" s="377">
        <f t="shared" si="16"/>
        <v>67511</v>
      </c>
      <c r="H202" s="388">
        <v>46158</v>
      </c>
      <c r="I202" s="389">
        <v>59290</v>
      </c>
      <c r="J202" s="388">
        <v>566</v>
      </c>
      <c r="K202" s="390">
        <v>810</v>
      </c>
      <c r="L202" s="381">
        <v>4570</v>
      </c>
      <c r="M202" s="388"/>
      <c r="N202" s="388"/>
      <c r="O202" s="389">
        <v>7411</v>
      </c>
      <c r="P202" s="389"/>
      <c r="Q202" s="390"/>
      <c r="R202" s="381"/>
      <c r="S202" s="390"/>
      <c r="T202" s="383">
        <f t="shared" si="17"/>
        <v>0</v>
      </c>
      <c r="U202" s="384">
        <f t="shared" si="18"/>
        <v>0</v>
      </c>
      <c r="V202" s="388"/>
      <c r="W202" s="389"/>
      <c r="X202" s="391"/>
      <c r="Y202" s="390"/>
      <c r="Z202" s="381"/>
      <c r="AA202" s="388"/>
      <c r="AB202" s="388"/>
      <c r="AC202" s="389"/>
      <c r="AD202" s="389"/>
      <c r="AE202" s="392"/>
      <c r="AF202" s="381"/>
      <c r="AG202" s="389"/>
    </row>
    <row r="203" spans="1:33" s="404" customFormat="1" ht="12.75" customHeight="1">
      <c r="A203" s="405" t="s">
        <v>172</v>
      </c>
      <c r="B203" s="406" t="s">
        <v>196</v>
      </c>
      <c r="C203" s="406"/>
      <c r="D203" s="405">
        <v>157438</v>
      </c>
      <c r="E203" s="407">
        <v>12</v>
      </c>
      <c r="F203" s="376">
        <f t="shared" si="15"/>
        <v>59201</v>
      </c>
      <c r="G203" s="377">
        <f t="shared" si="16"/>
        <v>70022</v>
      </c>
      <c r="H203" s="388">
        <v>58104</v>
      </c>
      <c r="I203" s="389">
        <v>67062</v>
      </c>
      <c r="J203" s="388">
        <v>0</v>
      </c>
      <c r="K203" s="390"/>
      <c r="L203" s="381">
        <v>1097</v>
      </c>
      <c r="M203" s="388"/>
      <c r="N203" s="388"/>
      <c r="O203" s="389">
        <v>2960</v>
      </c>
      <c r="P203" s="389"/>
      <c r="Q203" s="390"/>
      <c r="R203" s="381"/>
      <c r="S203" s="390"/>
      <c r="T203" s="383">
        <f t="shared" si="17"/>
        <v>0</v>
      </c>
      <c r="U203" s="384">
        <f t="shared" si="18"/>
        <v>0</v>
      </c>
      <c r="V203" s="388"/>
      <c r="W203" s="389"/>
      <c r="X203" s="391"/>
      <c r="Y203" s="390"/>
      <c r="Z203" s="381"/>
      <c r="AA203" s="388"/>
      <c r="AB203" s="388"/>
      <c r="AC203" s="389"/>
      <c r="AD203" s="389"/>
      <c r="AE203" s="392"/>
      <c r="AF203" s="381"/>
      <c r="AG203" s="389"/>
    </row>
    <row r="204" spans="1:33" s="404" customFormat="1" ht="12.75" customHeight="1">
      <c r="A204" s="531" t="s">
        <v>197</v>
      </c>
      <c r="B204" s="480" t="s">
        <v>854</v>
      </c>
      <c r="C204" s="532"/>
      <c r="D204" s="533">
        <v>159391</v>
      </c>
      <c r="E204" s="482">
        <v>1</v>
      </c>
      <c r="F204" s="376">
        <f t="shared" si="15"/>
        <v>0</v>
      </c>
      <c r="G204" s="377">
        <f t="shared" si="16"/>
        <v>0</v>
      </c>
      <c r="I204" s="439"/>
      <c r="K204" s="439"/>
      <c r="T204" s="383">
        <f t="shared" si="17"/>
        <v>0</v>
      </c>
      <c r="U204" s="384">
        <f t="shared" si="18"/>
        <v>0</v>
      </c>
    </row>
    <row r="205" spans="1:33" s="404" customFormat="1" ht="12.75" customHeight="1">
      <c r="A205" s="531" t="s">
        <v>197</v>
      </c>
      <c r="B205" s="480" t="s">
        <v>855</v>
      </c>
      <c r="C205" s="532"/>
      <c r="D205" s="533">
        <v>159647</v>
      </c>
      <c r="E205" s="482">
        <v>2</v>
      </c>
      <c r="F205" s="376">
        <f t="shared" si="15"/>
        <v>0</v>
      </c>
      <c r="G205" s="377">
        <f t="shared" si="16"/>
        <v>0</v>
      </c>
      <c r="I205" s="439"/>
      <c r="K205" s="439"/>
      <c r="T205" s="383">
        <f t="shared" si="17"/>
        <v>0</v>
      </c>
      <c r="U205" s="384">
        <f t="shared" si="18"/>
        <v>0</v>
      </c>
    </row>
    <row r="206" spans="1:33" s="404" customFormat="1" ht="12.75" customHeight="1">
      <c r="A206" s="531" t="s">
        <v>197</v>
      </c>
      <c r="B206" s="480" t="s">
        <v>856</v>
      </c>
      <c r="C206" s="532"/>
      <c r="D206" s="533">
        <v>160658</v>
      </c>
      <c r="E206" s="482">
        <v>2</v>
      </c>
      <c r="F206" s="376">
        <f t="shared" si="15"/>
        <v>0</v>
      </c>
      <c r="G206" s="377">
        <f t="shared" si="16"/>
        <v>0</v>
      </c>
      <c r="I206" s="439"/>
      <c r="K206" s="439"/>
      <c r="T206" s="383">
        <f t="shared" si="17"/>
        <v>0</v>
      </c>
      <c r="U206" s="384">
        <f t="shared" si="18"/>
        <v>0</v>
      </c>
    </row>
    <row r="207" spans="1:33" s="404" customFormat="1" ht="12.75" customHeight="1">
      <c r="A207" s="531" t="s">
        <v>197</v>
      </c>
      <c r="B207" s="480" t="s">
        <v>857</v>
      </c>
      <c r="C207" s="532"/>
      <c r="D207" s="533">
        <v>159939</v>
      </c>
      <c r="E207" s="482">
        <v>2</v>
      </c>
      <c r="F207" s="376">
        <f t="shared" si="15"/>
        <v>0</v>
      </c>
      <c r="G207" s="377">
        <f t="shared" si="16"/>
        <v>0</v>
      </c>
      <c r="I207" s="439"/>
      <c r="K207" s="439"/>
      <c r="T207" s="383">
        <f t="shared" si="17"/>
        <v>0</v>
      </c>
      <c r="U207" s="384">
        <f t="shared" si="18"/>
        <v>0</v>
      </c>
    </row>
    <row r="208" spans="1:33" s="404" customFormat="1" ht="12.75" customHeight="1">
      <c r="A208" s="531" t="s">
        <v>197</v>
      </c>
      <c r="B208" s="480" t="s">
        <v>858</v>
      </c>
      <c r="C208" s="532"/>
      <c r="D208" s="533">
        <v>160612</v>
      </c>
      <c r="E208" s="482">
        <v>3</v>
      </c>
      <c r="F208" s="376">
        <f t="shared" si="15"/>
        <v>0</v>
      </c>
      <c r="G208" s="377">
        <f t="shared" si="16"/>
        <v>0</v>
      </c>
      <c r="I208" s="439"/>
      <c r="K208" s="439"/>
      <c r="T208" s="383">
        <f t="shared" si="17"/>
        <v>0</v>
      </c>
      <c r="U208" s="384">
        <f t="shared" si="18"/>
        <v>0</v>
      </c>
    </row>
    <row r="209" spans="1:21" s="404" customFormat="1" ht="12.75" customHeight="1">
      <c r="A209" s="531" t="s">
        <v>197</v>
      </c>
      <c r="B209" s="480" t="s">
        <v>859</v>
      </c>
      <c r="C209" s="532"/>
      <c r="D209" s="533">
        <v>160621</v>
      </c>
      <c r="E209" s="482">
        <v>3</v>
      </c>
      <c r="F209" s="376">
        <f t="shared" si="15"/>
        <v>0</v>
      </c>
      <c r="G209" s="377">
        <f t="shared" si="16"/>
        <v>0</v>
      </c>
      <c r="I209" s="439"/>
      <c r="K209" s="439"/>
      <c r="T209" s="383">
        <f t="shared" si="17"/>
        <v>0</v>
      </c>
      <c r="U209" s="384">
        <f t="shared" si="18"/>
        <v>0</v>
      </c>
    </row>
    <row r="210" spans="1:21" s="404" customFormat="1" ht="12.75" customHeight="1">
      <c r="A210" s="531" t="s">
        <v>197</v>
      </c>
      <c r="B210" s="480" t="s">
        <v>860</v>
      </c>
      <c r="C210" s="532"/>
      <c r="D210" s="533">
        <v>159993</v>
      </c>
      <c r="E210" s="482">
        <v>3</v>
      </c>
      <c r="F210" s="376">
        <f t="shared" si="15"/>
        <v>0</v>
      </c>
      <c r="G210" s="377">
        <f t="shared" si="16"/>
        <v>0</v>
      </c>
      <c r="I210" s="439"/>
      <c r="K210" s="439"/>
      <c r="T210" s="383">
        <f t="shared" si="17"/>
        <v>0</v>
      </c>
      <c r="U210" s="384">
        <f t="shared" si="18"/>
        <v>0</v>
      </c>
    </row>
    <row r="211" spans="1:21" s="404" customFormat="1" ht="12.75" customHeight="1">
      <c r="A211" s="531" t="s">
        <v>197</v>
      </c>
      <c r="B211" s="480" t="s">
        <v>861</v>
      </c>
      <c r="C211" s="532"/>
      <c r="D211" s="533">
        <v>159009</v>
      </c>
      <c r="E211" s="482">
        <v>4</v>
      </c>
      <c r="F211" s="376">
        <f t="shared" si="15"/>
        <v>0</v>
      </c>
      <c r="G211" s="377">
        <f t="shared" si="16"/>
        <v>0</v>
      </c>
      <c r="I211" s="439"/>
      <c r="K211" s="439"/>
      <c r="T211" s="383">
        <f t="shared" si="17"/>
        <v>0</v>
      </c>
      <c r="U211" s="384">
        <f t="shared" si="18"/>
        <v>0</v>
      </c>
    </row>
    <row r="212" spans="1:21" s="404" customFormat="1" ht="12.75" customHeight="1">
      <c r="A212" s="531" t="s">
        <v>197</v>
      </c>
      <c r="B212" s="480" t="s">
        <v>862</v>
      </c>
      <c r="C212" s="532"/>
      <c r="D212" s="533">
        <v>159416</v>
      </c>
      <c r="E212" s="482">
        <v>4</v>
      </c>
      <c r="F212" s="376">
        <f t="shared" si="15"/>
        <v>0</v>
      </c>
      <c r="G212" s="377">
        <f t="shared" si="16"/>
        <v>0</v>
      </c>
      <c r="I212" s="439"/>
      <c r="K212" s="439"/>
      <c r="T212" s="383">
        <f t="shared" si="17"/>
        <v>0</v>
      </c>
      <c r="U212" s="384">
        <f t="shared" si="18"/>
        <v>0</v>
      </c>
    </row>
    <row r="213" spans="1:21" s="404" customFormat="1" ht="12.75" customHeight="1">
      <c r="A213" s="531" t="s">
        <v>197</v>
      </c>
      <c r="B213" s="480" t="s">
        <v>863</v>
      </c>
      <c r="C213" s="532"/>
      <c r="D213" s="533">
        <v>159717</v>
      </c>
      <c r="E213" s="482">
        <v>4</v>
      </c>
      <c r="F213" s="376">
        <f t="shared" si="15"/>
        <v>0</v>
      </c>
      <c r="G213" s="377">
        <f t="shared" si="16"/>
        <v>0</v>
      </c>
      <c r="I213" s="439"/>
      <c r="K213" s="439"/>
      <c r="T213" s="383">
        <f t="shared" si="17"/>
        <v>0</v>
      </c>
      <c r="U213" s="384">
        <f t="shared" si="18"/>
        <v>0</v>
      </c>
    </row>
    <row r="214" spans="1:21" s="404" customFormat="1" ht="12.75" customHeight="1">
      <c r="A214" s="531" t="s">
        <v>197</v>
      </c>
      <c r="B214" s="480" t="s">
        <v>864</v>
      </c>
      <c r="C214" s="532"/>
      <c r="D214" s="533">
        <v>159966</v>
      </c>
      <c r="E214" s="482">
        <v>4</v>
      </c>
      <c r="F214" s="376">
        <f t="shared" si="15"/>
        <v>0</v>
      </c>
      <c r="G214" s="377">
        <f t="shared" si="16"/>
        <v>0</v>
      </c>
      <c r="I214" s="439"/>
      <c r="K214" s="439"/>
      <c r="T214" s="383">
        <f t="shared" si="17"/>
        <v>0</v>
      </c>
      <c r="U214" s="384">
        <f t="shared" si="18"/>
        <v>0</v>
      </c>
    </row>
    <row r="215" spans="1:21" s="404" customFormat="1" ht="12.75" customHeight="1">
      <c r="A215" s="531" t="s">
        <v>197</v>
      </c>
      <c r="B215" s="480" t="s">
        <v>865</v>
      </c>
      <c r="C215" s="532"/>
      <c r="D215" s="533">
        <v>160038</v>
      </c>
      <c r="E215" s="482">
        <v>4</v>
      </c>
      <c r="F215" s="376">
        <f t="shared" si="15"/>
        <v>0</v>
      </c>
      <c r="G215" s="377">
        <f t="shared" si="16"/>
        <v>0</v>
      </c>
      <c r="I215" s="439"/>
      <c r="K215" s="439"/>
      <c r="T215" s="383">
        <f t="shared" si="17"/>
        <v>0</v>
      </c>
      <c r="U215" s="384">
        <f t="shared" si="18"/>
        <v>0</v>
      </c>
    </row>
    <row r="216" spans="1:21" s="404" customFormat="1" ht="12.75" customHeight="1">
      <c r="A216" s="531" t="s">
        <v>197</v>
      </c>
      <c r="B216" s="480" t="s">
        <v>866</v>
      </c>
      <c r="C216" s="532" t="s">
        <v>867</v>
      </c>
      <c r="D216" s="533">
        <v>160630</v>
      </c>
      <c r="E216" s="482">
        <v>4</v>
      </c>
      <c r="F216" s="376">
        <f t="shared" si="15"/>
        <v>0</v>
      </c>
      <c r="G216" s="377">
        <f t="shared" si="16"/>
        <v>0</v>
      </c>
      <c r="I216" s="439"/>
      <c r="K216" s="439"/>
      <c r="T216" s="383">
        <f t="shared" si="17"/>
        <v>0</v>
      </c>
      <c r="U216" s="384">
        <f t="shared" si="18"/>
        <v>0</v>
      </c>
    </row>
    <row r="217" spans="1:21" s="404" customFormat="1" ht="12.75" customHeight="1">
      <c r="A217" s="531" t="s">
        <v>197</v>
      </c>
      <c r="B217" s="480" t="s">
        <v>868</v>
      </c>
      <c r="C217" s="532" t="s">
        <v>869</v>
      </c>
      <c r="D217" s="533">
        <v>159382</v>
      </c>
      <c r="E217" s="482">
        <v>7</v>
      </c>
      <c r="F217" s="376">
        <f t="shared" si="15"/>
        <v>0</v>
      </c>
      <c r="G217" s="377">
        <f t="shared" si="16"/>
        <v>0</v>
      </c>
      <c r="I217" s="439"/>
      <c r="K217" s="439"/>
      <c r="T217" s="383">
        <f t="shared" si="17"/>
        <v>0</v>
      </c>
      <c r="U217" s="384">
        <f t="shared" si="18"/>
        <v>0</v>
      </c>
    </row>
    <row r="218" spans="1:21" s="404" customFormat="1" ht="12.75" customHeight="1">
      <c r="A218" s="531" t="s">
        <v>197</v>
      </c>
      <c r="B218" s="480" t="s">
        <v>868</v>
      </c>
      <c r="C218" s="534" t="s">
        <v>869</v>
      </c>
      <c r="D218" s="533">
        <v>159382</v>
      </c>
      <c r="E218" s="482">
        <v>7</v>
      </c>
      <c r="F218" s="376">
        <f t="shared" si="15"/>
        <v>0</v>
      </c>
      <c r="G218" s="377">
        <f t="shared" si="16"/>
        <v>0</v>
      </c>
      <c r="I218" s="439"/>
      <c r="K218" s="439"/>
      <c r="T218" s="383">
        <f t="shared" si="17"/>
        <v>0</v>
      </c>
      <c r="U218" s="384">
        <f t="shared" si="18"/>
        <v>0</v>
      </c>
    </row>
    <row r="219" spans="1:21" s="404" customFormat="1" ht="12.75" customHeight="1">
      <c r="A219" s="531" t="s">
        <v>197</v>
      </c>
      <c r="B219" s="535" t="s">
        <v>870</v>
      </c>
      <c r="C219" s="536" t="s">
        <v>871</v>
      </c>
      <c r="D219" s="533">
        <v>437103</v>
      </c>
      <c r="E219" s="544">
        <v>8</v>
      </c>
      <c r="F219" s="376">
        <f t="shared" si="15"/>
        <v>0</v>
      </c>
      <c r="G219" s="377">
        <f t="shared" si="16"/>
        <v>0</v>
      </c>
      <c r="I219" s="439"/>
      <c r="K219" s="439"/>
      <c r="T219" s="383">
        <f t="shared" si="17"/>
        <v>0</v>
      </c>
      <c r="U219" s="384">
        <f t="shared" si="18"/>
        <v>0</v>
      </c>
    </row>
    <row r="220" spans="1:21" s="404" customFormat="1" ht="12.75" customHeight="1">
      <c r="A220" s="531" t="s">
        <v>197</v>
      </c>
      <c r="B220" s="483" t="s">
        <v>872</v>
      </c>
      <c r="C220" s="537" t="s">
        <v>873</v>
      </c>
      <c r="D220" s="538">
        <v>158662</v>
      </c>
      <c r="E220" s="545">
        <v>8</v>
      </c>
      <c r="F220" s="376">
        <f t="shared" si="15"/>
        <v>0</v>
      </c>
      <c r="G220" s="377">
        <f t="shared" si="16"/>
        <v>0</v>
      </c>
      <c r="I220" s="439"/>
      <c r="K220" s="439"/>
      <c r="T220" s="383">
        <f t="shared" si="17"/>
        <v>0</v>
      </c>
      <c r="U220" s="384">
        <f t="shared" si="18"/>
        <v>0</v>
      </c>
    </row>
    <row r="221" spans="1:21" s="404" customFormat="1" ht="12.75" customHeight="1">
      <c r="A221" s="531" t="s">
        <v>197</v>
      </c>
      <c r="B221" s="480" t="s">
        <v>874</v>
      </c>
      <c r="C221" s="534" t="s">
        <v>778</v>
      </c>
      <c r="D221" s="533">
        <v>158431</v>
      </c>
      <c r="E221" s="482">
        <v>9</v>
      </c>
      <c r="F221" s="376">
        <f t="shared" si="15"/>
        <v>0</v>
      </c>
      <c r="G221" s="377">
        <f t="shared" si="16"/>
        <v>0</v>
      </c>
      <c r="I221" s="439"/>
      <c r="K221" s="439"/>
      <c r="T221" s="383">
        <f t="shared" si="17"/>
        <v>0</v>
      </c>
      <c r="U221" s="384">
        <f t="shared" si="18"/>
        <v>0</v>
      </c>
    </row>
    <row r="222" spans="1:21" s="404" customFormat="1" ht="12.75" customHeight="1">
      <c r="A222" s="531" t="s">
        <v>197</v>
      </c>
      <c r="B222" s="484" t="s">
        <v>875</v>
      </c>
      <c r="C222" s="539"/>
      <c r="D222" s="533">
        <v>159407</v>
      </c>
      <c r="E222" s="482">
        <v>9</v>
      </c>
      <c r="F222" s="376">
        <f t="shared" si="15"/>
        <v>0</v>
      </c>
      <c r="G222" s="377">
        <f t="shared" si="16"/>
        <v>0</v>
      </c>
      <c r="I222" s="439"/>
      <c r="K222" s="439"/>
      <c r="T222" s="383">
        <f t="shared" si="17"/>
        <v>0</v>
      </c>
      <c r="U222" s="384">
        <f t="shared" si="18"/>
        <v>0</v>
      </c>
    </row>
    <row r="223" spans="1:21" s="404" customFormat="1" ht="12.75" customHeight="1">
      <c r="A223" s="531" t="s">
        <v>197</v>
      </c>
      <c r="B223" s="535" t="s">
        <v>876</v>
      </c>
      <c r="C223" s="536" t="s">
        <v>877</v>
      </c>
      <c r="D223" s="533">
        <v>434061</v>
      </c>
      <c r="E223" s="544">
        <v>9</v>
      </c>
      <c r="F223" s="376">
        <f t="shared" si="15"/>
        <v>0</v>
      </c>
      <c r="G223" s="377">
        <f t="shared" si="16"/>
        <v>0</v>
      </c>
      <c r="I223" s="439"/>
      <c r="K223" s="439"/>
      <c r="T223" s="383">
        <f t="shared" si="17"/>
        <v>0</v>
      </c>
      <c r="U223" s="384">
        <f t="shared" si="18"/>
        <v>0</v>
      </c>
    </row>
    <row r="224" spans="1:21" s="404" customFormat="1" ht="12.75" customHeight="1">
      <c r="A224" s="531" t="s">
        <v>197</v>
      </c>
      <c r="B224" s="483" t="s">
        <v>878</v>
      </c>
      <c r="C224" s="537" t="s">
        <v>879</v>
      </c>
      <c r="D224" s="533">
        <v>440624</v>
      </c>
      <c r="E224" s="482">
        <v>10</v>
      </c>
      <c r="F224" s="376">
        <f t="shared" si="15"/>
        <v>0</v>
      </c>
      <c r="G224" s="377">
        <f t="shared" si="16"/>
        <v>0</v>
      </c>
      <c r="I224" s="439"/>
      <c r="K224" s="439"/>
      <c r="T224" s="383">
        <f t="shared" si="17"/>
        <v>0</v>
      </c>
      <c r="U224" s="384">
        <f t="shared" si="18"/>
        <v>0</v>
      </c>
    </row>
    <row r="225" spans="1:33" s="404" customFormat="1" ht="12.75" customHeight="1">
      <c r="A225" s="531" t="s">
        <v>197</v>
      </c>
      <c r="B225" s="480" t="s">
        <v>880</v>
      </c>
      <c r="C225" s="534"/>
      <c r="D225" s="533">
        <v>158884</v>
      </c>
      <c r="E225" s="482">
        <v>10</v>
      </c>
      <c r="F225" s="376">
        <f t="shared" si="15"/>
        <v>0</v>
      </c>
      <c r="G225" s="377">
        <f t="shared" si="16"/>
        <v>0</v>
      </c>
      <c r="I225" s="439"/>
      <c r="K225" s="439"/>
      <c r="T225" s="383">
        <f t="shared" si="17"/>
        <v>0</v>
      </c>
      <c r="U225" s="384">
        <f t="shared" si="18"/>
        <v>0</v>
      </c>
    </row>
    <row r="226" spans="1:33" s="404" customFormat="1" ht="12.75" customHeight="1">
      <c r="A226" s="531" t="s">
        <v>197</v>
      </c>
      <c r="B226" s="483" t="s">
        <v>881</v>
      </c>
      <c r="C226" s="537" t="s">
        <v>882</v>
      </c>
      <c r="D226" s="533">
        <v>436304</v>
      </c>
      <c r="E226" s="482">
        <v>10</v>
      </c>
      <c r="F226" s="376">
        <f t="shared" si="15"/>
        <v>0</v>
      </c>
      <c r="G226" s="377">
        <f t="shared" si="16"/>
        <v>0</v>
      </c>
      <c r="I226" s="439"/>
      <c r="K226" s="439"/>
      <c r="T226" s="383">
        <f t="shared" si="17"/>
        <v>0</v>
      </c>
      <c r="U226" s="384">
        <f t="shared" si="18"/>
        <v>0</v>
      </c>
    </row>
    <row r="227" spans="1:33" s="404" customFormat="1" ht="12.75" customHeight="1">
      <c r="A227" s="540" t="s">
        <v>197</v>
      </c>
      <c r="B227" s="484" t="s">
        <v>883</v>
      </c>
      <c r="C227" s="539" t="s">
        <v>779</v>
      </c>
      <c r="D227" s="541">
        <v>160649</v>
      </c>
      <c r="E227" s="546">
        <v>10</v>
      </c>
      <c r="F227" s="376">
        <f t="shared" si="15"/>
        <v>0</v>
      </c>
      <c r="G227" s="377">
        <f t="shared" si="16"/>
        <v>0</v>
      </c>
      <c r="I227" s="439"/>
      <c r="K227" s="439"/>
      <c r="T227" s="383">
        <f t="shared" si="17"/>
        <v>0</v>
      </c>
      <c r="U227" s="384">
        <f t="shared" si="18"/>
        <v>0</v>
      </c>
    </row>
    <row r="228" spans="1:33" s="404" customFormat="1" ht="12.75" customHeight="1">
      <c r="A228" s="531" t="s">
        <v>197</v>
      </c>
      <c r="B228" s="542" t="s">
        <v>884</v>
      </c>
      <c r="C228" s="543" t="s">
        <v>885</v>
      </c>
      <c r="D228" s="533"/>
      <c r="E228" s="482">
        <v>12</v>
      </c>
      <c r="F228" s="376">
        <f t="shared" si="15"/>
        <v>0</v>
      </c>
      <c r="G228" s="377">
        <f t="shared" si="16"/>
        <v>0</v>
      </c>
      <c r="I228" s="439"/>
      <c r="K228" s="439"/>
      <c r="T228" s="383">
        <f t="shared" si="17"/>
        <v>0</v>
      </c>
      <c r="U228" s="384">
        <f t="shared" si="18"/>
        <v>0</v>
      </c>
    </row>
    <row r="229" spans="1:33" s="404" customFormat="1" ht="12.75" customHeight="1">
      <c r="A229" s="531" t="s">
        <v>197</v>
      </c>
      <c r="B229" s="542" t="s">
        <v>886</v>
      </c>
      <c r="C229" s="543" t="s">
        <v>887</v>
      </c>
      <c r="D229" s="533"/>
      <c r="E229" s="482">
        <v>12</v>
      </c>
      <c r="F229" s="376">
        <f t="shared" si="15"/>
        <v>0</v>
      </c>
      <c r="G229" s="377">
        <f t="shared" si="16"/>
        <v>0</v>
      </c>
      <c r="I229" s="439"/>
      <c r="K229" s="439"/>
      <c r="T229" s="383">
        <f t="shared" si="17"/>
        <v>0</v>
      </c>
      <c r="U229" s="384">
        <f t="shared" si="18"/>
        <v>0</v>
      </c>
    </row>
    <row r="230" spans="1:33" s="404" customFormat="1" ht="12.75" customHeight="1">
      <c r="A230" s="531" t="s">
        <v>197</v>
      </c>
      <c r="B230" s="542" t="s">
        <v>888</v>
      </c>
      <c r="C230" s="543" t="s">
        <v>889</v>
      </c>
      <c r="D230" s="533"/>
      <c r="E230" s="482">
        <v>12</v>
      </c>
      <c r="F230" s="376">
        <f t="shared" si="15"/>
        <v>0</v>
      </c>
      <c r="G230" s="377">
        <f t="shared" si="16"/>
        <v>0</v>
      </c>
      <c r="I230" s="439"/>
      <c r="K230" s="439"/>
      <c r="T230" s="383">
        <f t="shared" si="17"/>
        <v>0</v>
      </c>
      <c r="U230" s="384">
        <f t="shared" si="18"/>
        <v>0</v>
      </c>
    </row>
    <row r="231" spans="1:33" s="404" customFormat="1" ht="12.75" customHeight="1">
      <c r="A231" s="531" t="s">
        <v>197</v>
      </c>
      <c r="B231" s="542" t="s">
        <v>890</v>
      </c>
      <c r="C231" s="543" t="s">
        <v>891</v>
      </c>
      <c r="D231" s="533"/>
      <c r="E231" s="482">
        <v>12</v>
      </c>
      <c r="F231" s="376">
        <f t="shared" si="15"/>
        <v>0</v>
      </c>
      <c r="G231" s="377">
        <f t="shared" si="16"/>
        <v>0</v>
      </c>
      <c r="I231" s="439"/>
      <c r="K231" s="439"/>
      <c r="T231" s="383">
        <f t="shared" si="17"/>
        <v>0</v>
      </c>
      <c r="U231" s="384">
        <f t="shared" si="18"/>
        <v>0</v>
      </c>
    </row>
    <row r="232" spans="1:33" s="404" customFormat="1" ht="12.75" customHeight="1">
      <c r="A232" s="531" t="s">
        <v>197</v>
      </c>
      <c r="B232" s="542" t="s">
        <v>892</v>
      </c>
      <c r="C232" s="543" t="s">
        <v>893</v>
      </c>
      <c r="D232" s="533"/>
      <c r="E232" s="482">
        <v>12</v>
      </c>
      <c r="F232" s="376">
        <f t="shared" si="15"/>
        <v>0</v>
      </c>
      <c r="G232" s="377">
        <f t="shared" si="16"/>
        <v>0</v>
      </c>
      <c r="I232" s="439"/>
      <c r="K232" s="439"/>
      <c r="T232" s="383">
        <f t="shared" si="17"/>
        <v>0</v>
      </c>
      <c r="U232" s="384">
        <f t="shared" si="18"/>
        <v>0</v>
      </c>
    </row>
    <row r="233" spans="1:33" s="404" customFormat="1" ht="12.75" customHeight="1">
      <c r="A233" s="531" t="s">
        <v>197</v>
      </c>
      <c r="B233" s="542" t="s">
        <v>894</v>
      </c>
      <c r="C233" s="543" t="s">
        <v>895</v>
      </c>
      <c r="D233" s="533"/>
      <c r="E233" s="482">
        <v>12</v>
      </c>
      <c r="F233" s="376">
        <f t="shared" si="15"/>
        <v>0</v>
      </c>
      <c r="G233" s="377">
        <f t="shared" si="16"/>
        <v>0</v>
      </c>
      <c r="I233" s="439"/>
      <c r="K233" s="439"/>
      <c r="T233" s="383">
        <f t="shared" si="17"/>
        <v>0</v>
      </c>
      <c r="U233" s="384">
        <f t="shared" si="18"/>
        <v>0</v>
      </c>
    </row>
    <row r="234" spans="1:33" s="404" customFormat="1" ht="12.75" customHeight="1">
      <c r="A234" s="531" t="s">
        <v>197</v>
      </c>
      <c r="B234" s="542" t="s">
        <v>896</v>
      </c>
      <c r="C234" s="543" t="s">
        <v>897</v>
      </c>
      <c r="D234" s="533"/>
      <c r="E234" s="482">
        <v>12</v>
      </c>
      <c r="F234" s="376">
        <f t="shared" si="15"/>
        <v>0</v>
      </c>
      <c r="G234" s="377">
        <f t="shared" si="16"/>
        <v>0</v>
      </c>
      <c r="I234" s="439"/>
      <c r="K234" s="439"/>
      <c r="T234" s="383">
        <f t="shared" si="17"/>
        <v>0</v>
      </c>
      <c r="U234" s="384">
        <f t="shared" si="18"/>
        <v>0</v>
      </c>
    </row>
    <row r="235" spans="1:33" s="404" customFormat="1" ht="12.75" customHeight="1">
      <c r="A235" s="531" t="s">
        <v>197</v>
      </c>
      <c r="B235" s="480" t="s">
        <v>898</v>
      </c>
      <c r="C235" s="534"/>
      <c r="D235" s="533">
        <v>160579</v>
      </c>
      <c r="E235" s="482">
        <v>12</v>
      </c>
      <c r="F235" s="376">
        <f t="shared" si="15"/>
        <v>0</v>
      </c>
      <c r="G235" s="377">
        <f t="shared" si="16"/>
        <v>0</v>
      </c>
      <c r="I235" s="439"/>
      <c r="K235" s="439"/>
      <c r="T235" s="383">
        <f t="shared" si="17"/>
        <v>0</v>
      </c>
      <c r="U235" s="384">
        <f t="shared" si="18"/>
        <v>0</v>
      </c>
    </row>
    <row r="236" spans="1:33" s="404" customFormat="1" ht="12.75" customHeight="1">
      <c r="A236" s="531" t="s">
        <v>197</v>
      </c>
      <c r="B236" s="480" t="s">
        <v>899</v>
      </c>
      <c r="C236" s="534" t="s">
        <v>900</v>
      </c>
      <c r="D236" s="533">
        <v>160481</v>
      </c>
      <c r="E236" s="482">
        <v>13</v>
      </c>
      <c r="F236" s="376">
        <f t="shared" si="15"/>
        <v>0</v>
      </c>
      <c r="G236" s="377">
        <f t="shared" si="16"/>
        <v>0</v>
      </c>
      <c r="I236" s="439"/>
      <c r="K236" s="439"/>
      <c r="T236" s="383">
        <f t="shared" si="17"/>
        <v>0</v>
      </c>
      <c r="U236" s="384">
        <f t="shared" si="18"/>
        <v>0</v>
      </c>
    </row>
    <row r="237" spans="1:33" s="404" customFormat="1" ht="12.75" customHeight="1">
      <c r="A237" s="442" t="s">
        <v>198</v>
      </c>
      <c r="B237" s="443" t="s">
        <v>199</v>
      </c>
      <c r="C237" s="443"/>
      <c r="D237" s="444">
        <v>163286</v>
      </c>
      <c r="E237" s="445">
        <v>1</v>
      </c>
      <c r="F237" s="376">
        <f t="shared" si="15"/>
        <v>791533.5</v>
      </c>
      <c r="G237" s="377">
        <f t="shared" si="16"/>
        <v>799218</v>
      </c>
      <c r="H237" s="446">
        <v>768245.5</v>
      </c>
      <c r="I237" s="389">
        <v>771256</v>
      </c>
      <c r="J237" s="446">
        <v>16125</v>
      </c>
      <c r="K237" s="390">
        <v>16898</v>
      </c>
      <c r="L237" s="447">
        <v>6812</v>
      </c>
      <c r="M237" s="446">
        <v>351</v>
      </c>
      <c r="N237" s="446"/>
      <c r="O237" s="389">
        <v>10719</v>
      </c>
      <c r="P237" s="389">
        <v>345</v>
      </c>
      <c r="Q237" s="390"/>
      <c r="R237" s="447"/>
      <c r="S237" s="390"/>
      <c r="T237" s="383">
        <f t="shared" si="17"/>
        <v>154875</v>
      </c>
      <c r="U237" s="384">
        <f t="shared" si="18"/>
        <v>156544.5</v>
      </c>
      <c r="V237" s="446">
        <v>116375</v>
      </c>
      <c r="W237" s="389">
        <v>115130.5</v>
      </c>
      <c r="X237" s="448">
        <v>32673</v>
      </c>
      <c r="Y237" s="390">
        <v>35031</v>
      </c>
      <c r="Z237" s="447">
        <v>4988</v>
      </c>
      <c r="AA237" s="446">
        <v>839</v>
      </c>
      <c r="AB237" s="446"/>
      <c r="AC237" s="389">
        <v>5393</v>
      </c>
      <c r="AD237" s="389">
        <v>990</v>
      </c>
      <c r="AE237" s="392"/>
      <c r="AF237" s="447"/>
      <c r="AG237" s="389"/>
    </row>
    <row r="238" spans="1:33" s="404" customFormat="1" ht="12.75" customHeight="1">
      <c r="A238" s="442" t="s">
        <v>198</v>
      </c>
      <c r="B238" s="443" t="s">
        <v>200</v>
      </c>
      <c r="C238" s="443"/>
      <c r="D238" s="444">
        <v>163268</v>
      </c>
      <c r="E238" s="445">
        <v>2</v>
      </c>
      <c r="F238" s="376">
        <f t="shared" si="15"/>
        <v>269872</v>
      </c>
      <c r="G238" s="377">
        <f t="shared" si="16"/>
        <v>290420.5</v>
      </c>
      <c r="H238" s="446">
        <v>251849</v>
      </c>
      <c r="I238" s="389">
        <v>262511.5</v>
      </c>
      <c r="J238" s="446">
        <v>5587</v>
      </c>
      <c r="K238" s="390">
        <v>5732</v>
      </c>
      <c r="L238" s="447">
        <v>12436</v>
      </c>
      <c r="M238" s="446"/>
      <c r="N238" s="446"/>
      <c r="O238" s="389">
        <v>22177</v>
      </c>
      <c r="P238" s="389"/>
      <c r="Q238" s="390"/>
      <c r="R238" s="447"/>
      <c r="S238" s="390"/>
      <c r="T238" s="383">
        <f t="shared" si="17"/>
        <v>31112</v>
      </c>
      <c r="U238" s="384">
        <f t="shared" si="18"/>
        <v>35406</v>
      </c>
      <c r="V238" s="446">
        <v>23732</v>
      </c>
      <c r="W238" s="389">
        <v>26415</v>
      </c>
      <c r="X238" s="448">
        <v>1951</v>
      </c>
      <c r="Y238" s="390">
        <v>2985</v>
      </c>
      <c r="Z238" s="447">
        <v>5429</v>
      </c>
      <c r="AA238" s="446"/>
      <c r="AB238" s="446"/>
      <c r="AC238" s="389">
        <v>5494</v>
      </c>
      <c r="AD238" s="389">
        <v>444</v>
      </c>
      <c r="AE238" s="392">
        <v>68</v>
      </c>
      <c r="AF238" s="447"/>
      <c r="AG238" s="389"/>
    </row>
    <row r="239" spans="1:33" s="404" customFormat="1" ht="12.75" customHeight="1">
      <c r="A239" s="442" t="s">
        <v>198</v>
      </c>
      <c r="B239" s="443" t="s">
        <v>201</v>
      </c>
      <c r="C239" s="547" t="s">
        <v>901</v>
      </c>
      <c r="D239" s="444">
        <v>163453</v>
      </c>
      <c r="E239" s="445">
        <v>3</v>
      </c>
      <c r="F239" s="376">
        <f t="shared" si="15"/>
        <v>168327</v>
      </c>
      <c r="G239" s="377">
        <f t="shared" si="16"/>
        <v>181220</v>
      </c>
      <c r="H239" s="446">
        <v>165150</v>
      </c>
      <c r="I239" s="389">
        <v>180110</v>
      </c>
      <c r="J239" s="446">
        <v>2672</v>
      </c>
      <c r="K239" s="390">
        <v>408</v>
      </c>
      <c r="L239" s="447">
        <v>505</v>
      </c>
      <c r="M239" s="446"/>
      <c r="N239" s="446"/>
      <c r="O239" s="389">
        <v>702</v>
      </c>
      <c r="P239" s="389"/>
      <c r="Q239" s="390"/>
      <c r="R239" s="447"/>
      <c r="S239" s="390"/>
      <c r="T239" s="383">
        <f t="shared" si="17"/>
        <v>15521</v>
      </c>
      <c r="U239" s="384">
        <f t="shared" si="18"/>
        <v>17903</v>
      </c>
      <c r="V239" s="446">
        <v>15238</v>
      </c>
      <c r="W239" s="389">
        <v>16748</v>
      </c>
      <c r="X239" s="448">
        <v>166</v>
      </c>
      <c r="Y239" s="390">
        <v>585</v>
      </c>
      <c r="Z239" s="447">
        <v>117</v>
      </c>
      <c r="AA239" s="446"/>
      <c r="AB239" s="446"/>
      <c r="AC239" s="389">
        <v>570</v>
      </c>
      <c r="AD239" s="389"/>
      <c r="AE239" s="392"/>
      <c r="AF239" s="447"/>
      <c r="AG239" s="389"/>
    </row>
    <row r="240" spans="1:33" s="404" customFormat="1" ht="12.75" customHeight="1">
      <c r="A240" s="442" t="s">
        <v>198</v>
      </c>
      <c r="B240" s="443" t="s">
        <v>202</v>
      </c>
      <c r="C240" s="443"/>
      <c r="D240" s="444">
        <v>164076</v>
      </c>
      <c r="E240" s="445">
        <v>3</v>
      </c>
      <c r="F240" s="376">
        <f t="shared" si="15"/>
        <v>497207.5</v>
      </c>
      <c r="G240" s="377">
        <f t="shared" si="16"/>
        <v>506715.5</v>
      </c>
      <c r="H240" s="446">
        <v>471868.5</v>
      </c>
      <c r="I240" s="389">
        <v>471904.5</v>
      </c>
      <c r="J240" s="446">
        <v>7816</v>
      </c>
      <c r="K240" s="390">
        <v>9687</v>
      </c>
      <c r="L240" s="447">
        <v>17523</v>
      </c>
      <c r="M240" s="446"/>
      <c r="N240" s="446"/>
      <c r="O240" s="389">
        <v>25124</v>
      </c>
      <c r="P240" s="389"/>
      <c r="Q240" s="390"/>
      <c r="R240" s="447"/>
      <c r="S240" s="390"/>
      <c r="T240" s="383">
        <f t="shared" si="17"/>
        <v>54797</v>
      </c>
      <c r="U240" s="384">
        <f t="shared" si="18"/>
        <v>58131.5</v>
      </c>
      <c r="V240" s="446">
        <v>33561</v>
      </c>
      <c r="W240" s="389">
        <v>35962.5</v>
      </c>
      <c r="X240" s="448">
        <v>16660</v>
      </c>
      <c r="Y240" s="390">
        <v>15930</v>
      </c>
      <c r="Z240" s="447">
        <v>4576</v>
      </c>
      <c r="AA240" s="446"/>
      <c r="AB240" s="446"/>
      <c r="AC240" s="389">
        <v>6098</v>
      </c>
      <c r="AD240" s="389">
        <v>141</v>
      </c>
      <c r="AE240" s="392"/>
      <c r="AF240" s="447"/>
      <c r="AG240" s="389"/>
    </row>
    <row r="241" spans="1:33" s="404" customFormat="1" ht="12.75" customHeight="1">
      <c r="A241" s="442" t="s">
        <v>198</v>
      </c>
      <c r="B241" s="443" t="s">
        <v>203</v>
      </c>
      <c r="C241" s="443"/>
      <c r="D241" s="444">
        <v>162007</v>
      </c>
      <c r="E241" s="445">
        <v>4</v>
      </c>
      <c r="F241" s="376">
        <f t="shared" si="15"/>
        <v>121611</v>
      </c>
      <c r="G241" s="377">
        <f t="shared" si="16"/>
        <v>121720</v>
      </c>
      <c r="H241" s="446">
        <v>115315</v>
      </c>
      <c r="I241" s="389">
        <v>112688</v>
      </c>
      <c r="J241" s="446">
        <v>288</v>
      </c>
      <c r="K241" s="390">
        <v>905</v>
      </c>
      <c r="L241" s="447">
        <v>5555</v>
      </c>
      <c r="M241" s="446">
        <v>453</v>
      </c>
      <c r="N241" s="446">
        <v>0</v>
      </c>
      <c r="O241" s="389">
        <v>8127</v>
      </c>
      <c r="P241" s="389"/>
      <c r="Q241" s="390"/>
      <c r="R241" s="447"/>
      <c r="S241" s="390"/>
      <c r="T241" s="383">
        <f t="shared" si="17"/>
        <v>16888</v>
      </c>
      <c r="U241" s="384">
        <f t="shared" si="18"/>
        <v>16332</v>
      </c>
      <c r="V241" s="446">
        <v>15478</v>
      </c>
      <c r="W241" s="389">
        <v>15461</v>
      </c>
      <c r="X241" s="448">
        <v>654</v>
      </c>
      <c r="Y241" s="390">
        <v>340</v>
      </c>
      <c r="Z241" s="447">
        <v>756</v>
      </c>
      <c r="AA241" s="446"/>
      <c r="AB241" s="446"/>
      <c r="AC241" s="389">
        <v>531</v>
      </c>
      <c r="AD241" s="389"/>
      <c r="AE241" s="392"/>
      <c r="AF241" s="447"/>
      <c r="AG241" s="389"/>
    </row>
    <row r="242" spans="1:33" s="404" customFormat="1" ht="12.75" customHeight="1">
      <c r="A242" s="442" t="s">
        <v>198</v>
      </c>
      <c r="B242" s="443" t="s">
        <v>204</v>
      </c>
      <c r="C242" s="547" t="s">
        <v>783</v>
      </c>
      <c r="D242" s="444">
        <v>162283</v>
      </c>
      <c r="E242" s="445">
        <v>4</v>
      </c>
      <c r="F242" s="376">
        <f t="shared" si="15"/>
        <v>86915</v>
      </c>
      <c r="G242" s="377">
        <f t="shared" si="16"/>
        <v>93467</v>
      </c>
      <c r="H242" s="446">
        <v>79181</v>
      </c>
      <c r="I242" s="389">
        <v>85096</v>
      </c>
      <c r="J242" s="446">
        <v>45</v>
      </c>
      <c r="K242" s="390">
        <v>0</v>
      </c>
      <c r="L242" s="447">
        <v>7689</v>
      </c>
      <c r="M242" s="446"/>
      <c r="N242" s="446"/>
      <c r="O242" s="389">
        <v>8371</v>
      </c>
      <c r="P242" s="389"/>
      <c r="Q242" s="390"/>
      <c r="R242" s="447"/>
      <c r="S242" s="390"/>
      <c r="T242" s="383">
        <f t="shared" si="17"/>
        <v>8880</v>
      </c>
      <c r="U242" s="384">
        <f t="shared" si="18"/>
        <v>7544</v>
      </c>
      <c r="V242" s="446">
        <v>5673</v>
      </c>
      <c r="W242" s="389">
        <v>5601</v>
      </c>
      <c r="X242" s="448">
        <v>2567</v>
      </c>
      <c r="Y242" s="390">
        <v>1035</v>
      </c>
      <c r="Z242" s="447">
        <v>640</v>
      </c>
      <c r="AA242" s="446"/>
      <c r="AB242" s="446"/>
      <c r="AC242" s="389">
        <v>908</v>
      </c>
      <c r="AD242" s="389"/>
      <c r="AE242" s="392"/>
      <c r="AF242" s="447"/>
      <c r="AG242" s="389"/>
    </row>
    <row r="243" spans="1:33" s="404" customFormat="1" ht="12.75" customHeight="1">
      <c r="A243" s="442" t="s">
        <v>198</v>
      </c>
      <c r="B243" s="443" t="s">
        <v>205</v>
      </c>
      <c r="C243" s="443"/>
      <c r="D243" s="444">
        <v>162584</v>
      </c>
      <c r="E243" s="445">
        <v>4</v>
      </c>
      <c r="F243" s="376">
        <f t="shared" si="15"/>
        <v>132959</v>
      </c>
      <c r="G243" s="377">
        <f t="shared" si="16"/>
        <v>137084</v>
      </c>
      <c r="H243" s="446">
        <v>119838</v>
      </c>
      <c r="I243" s="389">
        <v>122380</v>
      </c>
      <c r="J243" s="446">
        <v>2126</v>
      </c>
      <c r="K243" s="390">
        <v>1978</v>
      </c>
      <c r="L243" s="447">
        <v>10791</v>
      </c>
      <c r="M243" s="446">
        <v>204</v>
      </c>
      <c r="N243" s="446"/>
      <c r="O243" s="389">
        <v>12660</v>
      </c>
      <c r="P243" s="389">
        <v>66</v>
      </c>
      <c r="Q243" s="390"/>
      <c r="R243" s="447"/>
      <c r="S243" s="390"/>
      <c r="T243" s="383">
        <f t="shared" si="17"/>
        <v>10600</v>
      </c>
      <c r="U243" s="384">
        <f t="shared" si="18"/>
        <v>11123</v>
      </c>
      <c r="V243" s="446">
        <v>4739</v>
      </c>
      <c r="W243" s="389">
        <v>4607</v>
      </c>
      <c r="X243" s="448">
        <v>2614</v>
      </c>
      <c r="Y243" s="390">
        <v>2741</v>
      </c>
      <c r="Z243" s="447">
        <v>2995</v>
      </c>
      <c r="AA243" s="446">
        <v>252</v>
      </c>
      <c r="AB243" s="446"/>
      <c r="AC243" s="389">
        <v>3646</v>
      </c>
      <c r="AD243" s="389">
        <v>129</v>
      </c>
      <c r="AE243" s="392"/>
      <c r="AF243" s="447"/>
      <c r="AG243" s="389"/>
    </row>
    <row r="244" spans="1:33" s="404" customFormat="1" ht="12.75" customHeight="1">
      <c r="A244" s="442" t="s">
        <v>198</v>
      </c>
      <c r="B244" s="443" t="s">
        <v>206</v>
      </c>
      <c r="C244" s="443"/>
      <c r="D244" s="444">
        <v>163851</v>
      </c>
      <c r="E244" s="445">
        <v>4</v>
      </c>
      <c r="F244" s="376">
        <f t="shared" si="15"/>
        <v>221268</v>
      </c>
      <c r="G244" s="377">
        <f t="shared" si="16"/>
        <v>226113</v>
      </c>
      <c r="H244" s="446">
        <v>207647</v>
      </c>
      <c r="I244" s="389">
        <v>209991</v>
      </c>
      <c r="J244" s="446">
        <v>1705</v>
      </c>
      <c r="K244" s="390">
        <v>1472</v>
      </c>
      <c r="L244" s="447">
        <v>11138</v>
      </c>
      <c r="M244" s="446">
        <v>778</v>
      </c>
      <c r="N244" s="446"/>
      <c r="O244" s="389">
        <v>13671</v>
      </c>
      <c r="P244" s="389">
        <v>979</v>
      </c>
      <c r="Q244" s="390"/>
      <c r="R244" s="447"/>
      <c r="S244" s="390"/>
      <c r="T244" s="383">
        <f t="shared" si="17"/>
        <v>10102</v>
      </c>
      <c r="U244" s="384">
        <f t="shared" si="18"/>
        <v>9829</v>
      </c>
      <c r="V244" s="446">
        <v>7641</v>
      </c>
      <c r="W244" s="389">
        <v>6259</v>
      </c>
      <c r="X244" s="448">
        <v>333</v>
      </c>
      <c r="Y244" s="390">
        <v>174</v>
      </c>
      <c r="Z244" s="447">
        <v>989</v>
      </c>
      <c r="AA244" s="446">
        <v>1139</v>
      </c>
      <c r="AB244" s="446"/>
      <c r="AC244" s="389">
        <v>2091</v>
      </c>
      <c r="AD244" s="389">
        <v>1305</v>
      </c>
      <c r="AE244" s="392"/>
      <c r="AF244" s="447"/>
      <c r="AG244" s="389"/>
    </row>
    <row r="245" spans="1:33" s="404" customFormat="1" ht="12.75" customHeight="1">
      <c r="A245" s="442" t="s">
        <v>198</v>
      </c>
      <c r="B245" s="443" t="s">
        <v>207</v>
      </c>
      <c r="C245" s="443"/>
      <c r="D245" s="444">
        <v>161873</v>
      </c>
      <c r="E245" s="445">
        <v>4</v>
      </c>
      <c r="F245" s="376">
        <f t="shared" si="15"/>
        <v>62168</v>
      </c>
      <c r="G245" s="377">
        <f t="shared" si="16"/>
        <v>69333</v>
      </c>
      <c r="H245" s="446">
        <v>49310</v>
      </c>
      <c r="I245" s="389">
        <v>55373</v>
      </c>
      <c r="J245" s="446">
        <v>957</v>
      </c>
      <c r="K245" s="390">
        <v>1359</v>
      </c>
      <c r="L245" s="447">
        <v>11901</v>
      </c>
      <c r="M245" s="446"/>
      <c r="N245" s="446"/>
      <c r="O245" s="389">
        <v>12601</v>
      </c>
      <c r="P245" s="389"/>
      <c r="Q245" s="390"/>
      <c r="R245" s="447"/>
      <c r="S245" s="390"/>
      <c r="T245" s="383">
        <f t="shared" si="17"/>
        <v>58317</v>
      </c>
      <c r="U245" s="384">
        <f t="shared" si="18"/>
        <v>137530</v>
      </c>
      <c r="V245" s="446">
        <v>46660</v>
      </c>
      <c r="W245" s="389">
        <v>46305</v>
      </c>
      <c r="X245" s="448">
        <v>3413</v>
      </c>
      <c r="Y245" s="390">
        <v>2255</v>
      </c>
      <c r="Z245" s="447">
        <v>8244</v>
      </c>
      <c r="AA245" s="446"/>
      <c r="AB245" s="446"/>
      <c r="AC245" s="389">
        <v>88970</v>
      </c>
      <c r="AD245" s="389"/>
      <c r="AE245" s="392"/>
      <c r="AF245" s="447"/>
      <c r="AG245" s="389"/>
    </row>
    <row r="246" spans="1:33" s="404" customFormat="1" ht="12.75" customHeight="1">
      <c r="A246" s="442" t="s">
        <v>198</v>
      </c>
      <c r="B246" s="443" t="s">
        <v>208</v>
      </c>
      <c r="C246" s="443"/>
      <c r="D246" s="444">
        <v>163338</v>
      </c>
      <c r="E246" s="445">
        <v>4</v>
      </c>
      <c r="F246" s="376">
        <f t="shared" si="15"/>
        <v>112051</v>
      </c>
      <c r="G246" s="377">
        <f t="shared" si="16"/>
        <v>117477</v>
      </c>
      <c r="H246" s="446">
        <v>106313</v>
      </c>
      <c r="I246" s="389">
        <v>111235</v>
      </c>
      <c r="J246" s="446">
        <v>2046</v>
      </c>
      <c r="K246" s="390">
        <v>2276</v>
      </c>
      <c r="L246" s="447">
        <v>3692</v>
      </c>
      <c r="M246" s="446"/>
      <c r="N246" s="446"/>
      <c r="O246" s="389">
        <v>3966</v>
      </c>
      <c r="P246" s="389"/>
      <c r="Q246" s="390"/>
      <c r="R246" s="447"/>
      <c r="S246" s="390"/>
      <c r="T246" s="383">
        <f t="shared" si="17"/>
        <v>7677</v>
      </c>
      <c r="U246" s="384">
        <f t="shared" si="18"/>
        <v>9092</v>
      </c>
      <c r="V246" s="446">
        <v>7379</v>
      </c>
      <c r="W246" s="389">
        <v>8756</v>
      </c>
      <c r="X246" s="448">
        <v>175</v>
      </c>
      <c r="Y246" s="390">
        <v>192</v>
      </c>
      <c r="Z246" s="447">
        <v>123</v>
      </c>
      <c r="AA246" s="446"/>
      <c r="AB246" s="446"/>
      <c r="AC246" s="389">
        <v>144</v>
      </c>
      <c r="AD246" s="389"/>
      <c r="AE246" s="392"/>
      <c r="AF246" s="447"/>
      <c r="AG246" s="389"/>
    </row>
    <row r="247" spans="1:33" s="404" customFormat="1" ht="12.75" customHeight="1">
      <c r="A247" s="442" t="s">
        <v>198</v>
      </c>
      <c r="B247" s="443" t="s">
        <v>209</v>
      </c>
      <c r="C247" s="547" t="s">
        <v>783</v>
      </c>
      <c r="D247" s="444">
        <v>163912</v>
      </c>
      <c r="E247" s="445">
        <v>6</v>
      </c>
      <c r="F247" s="376">
        <f t="shared" si="15"/>
        <v>61956</v>
      </c>
      <c r="G247" s="377">
        <f t="shared" si="16"/>
        <v>62834.5</v>
      </c>
      <c r="H247" s="446">
        <v>61956</v>
      </c>
      <c r="I247" s="389">
        <v>62834.5</v>
      </c>
      <c r="J247" s="446"/>
      <c r="K247" s="390">
        <v>0</v>
      </c>
      <c r="L247" s="447"/>
      <c r="M247" s="446"/>
      <c r="N247" s="446"/>
      <c r="O247" s="389"/>
      <c r="P247" s="389"/>
      <c r="Q247" s="390"/>
      <c r="R247" s="447"/>
      <c r="S247" s="390"/>
      <c r="T247" s="383">
        <f t="shared" si="17"/>
        <v>1900</v>
      </c>
      <c r="U247" s="384">
        <f t="shared" si="18"/>
        <v>1937</v>
      </c>
      <c r="V247" s="446">
        <v>1900</v>
      </c>
      <c r="W247" s="389">
        <v>1937</v>
      </c>
      <c r="X247" s="448"/>
      <c r="Y247" s="390"/>
      <c r="Z247" s="447"/>
      <c r="AA247" s="446"/>
      <c r="AB247" s="446"/>
      <c r="AC247" s="389"/>
      <c r="AD247" s="389"/>
      <c r="AE247" s="392"/>
      <c r="AF247" s="447"/>
      <c r="AG247" s="389"/>
    </row>
    <row r="248" spans="1:33" s="404" customFormat="1" ht="12.75" customHeight="1">
      <c r="A248" s="442" t="s">
        <v>198</v>
      </c>
      <c r="B248" s="443" t="s">
        <v>210</v>
      </c>
      <c r="C248" s="443"/>
      <c r="D248" s="444">
        <v>161767</v>
      </c>
      <c r="E248" s="445">
        <v>8</v>
      </c>
      <c r="F248" s="376">
        <f t="shared" si="15"/>
        <v>303331</v>
      </c>
      <c r="G248" s="377">
        <f t="shared" si="16"/>
        <v>329974.5</v>
      </c>
      <c r="H248" s="446">
        <v>237469</v>
      </c>
      <c r="I248" s="389">
        <v>251912.5</v>
      </c>
      <c r="J248" s="446">
        <v>5079</v>
      </c>
      <c r="K248" s="390">
        <v>4804</v>
      </c>
      <c r="L248" s="447">
        <v>59508</v>
      </c>
      <c r="M248" s="446">
        <v>324</v>
      </c>
      <c r="N248" s="446">
        <v>951</v>
      </c>
      <c r="O248" s="389">
        <v>72439</v>
      </c>
      <c r="P248" s="389">
        <v>297</v>
      </c>
      <c r="Q248" s="390">
        <v>522</v>
      </c>
      <c r="R248" s="447"/>
      <c r="S248" s="390"/>
      <c r="T248" s="383">
        <f t="shared" si="17"/>
        <v>0</v>
      </c>
      <c r="U248" s="384">
        <f t="shared" si="18"/>
        <v>0</v>
      </c>
      <c r="V248" s="446"/>
      <c r="W248" s="389"/>
      <c r="X248" s="448"/>
      <c r="Y248" s="390"/>
      <c r="Z248" s="447"/>
      <c r="AA248" s="446"/>
      <c r="AB248" s="446"/>
      <c r="AC248" s="389"/>
      <c r="AD248" s="389"/>
      <c r="AE248" s="392"/>
      <c r="AF248" s="447"/>
      <c r="AG248" s="389"/>
    </row>
    <row r="249" spans="1:33" s="404" customFormat="1" ht="12.75" customHeight="1">
      <c r="A249" s="442" t="s">
        <v>198</v>
      </c>
      <c r="B249" s="443" t="s">
        <v>211</v>
      </c>
      <c r="C249" s="443"/>
      <c r="D249" s="444">
        <v>434672</v>
      </c>
      <c r="E249" s="445">
        <v>8</v>
      </c>
      <c r="F249" s="376">
        <f t="shared" si="15"/>
        <v>420006</v>
      </c>
      <c r="G249" s="377">
        <f t="shared" si="16"/>
        <v>477384</v>
      </c>
      <c r="H249" s="446">
        <v>339948</v>
      </c>
      <c r="I249" s="389">
        <v>389931.5</v>
      </c>
      <c r="J249" s="446">
        <v>34410</v>
      </c>
      <c r="K249" s="390">
        <v>34196</v>
      </c>
      <c r="L249" s="447">
        <v>45270</v>
      </c>
      <c r="M249" s="446">
        <v>378</v>
      </c>
      <c r="N249" s="446"/>
      <c r="O249" s="389">
        <v>52725.5</v>
      </c>
      <c r="P249" s="389">
        <v>531</v>
      </c>
      <c r="Q249" s="390"/>
      <c r="R249" s="447"/>
      <c r="S249" s="390"/>
      <c r="T249" s="383">
        <f t="shared" si="17"/>
        <v>0</v>
      </c>
      <c r="U249" s="384">
        <f t="shared" si="18"/>
        <v>0</v>
      </c>
      <c r="V249" s="446"/>
      <c r="W249" s="389"/>
      <c r="X249" s="448"/>
      <c r="Y249" s="390"/>
      <c r="Z249" s="447"/>
      <c r="AA249" s="446"/>
      <c r="AB249" s="446"/>
      <c r="AC249" s="389"/>
      <c r="AD249" s="389"/>
      <c r="AE249" s="392"/>
      <c r="AF249" s="447"/>
      <c r="AG249" s="389"/>
    </row>
    <row r="250" spans="1:33" s="404" customFormat="1" ht="12.75" customHeight="1">
      <c r="A250" s="442" t="s">
        <v>198</v>
      </c>
      <c r="B250" s="443" t="s">
        <v>212</v>
      </c>
      <c r="C250" s="443"/>
      <c r="D250" s="444">
        <v>163426</v>
      </c>
      <c r="E250" s="445">
        <v>8</v>
      </c>
      <c r="F250" s="376">
        <f t="shared" si="15"/>
        <v>634842</v>
      </c>
      <c r="G250" s="377">
        <f t="shared" si="16"/>
        <v>561477.19999999995</v>
      </c>
      <c r="H250" s="446">
        <v>518683</v>
      </c>
      <c r="I250" s="389">
        <v>506365</v>
      </c>
      <c r="J250" s="446">
        <v>76223</v>
      </c>
      <c r="K250" s="390">
        <v>23862.2</v>
      </c>
      <c r="L250" s="447">
        <v>39936</v>
      </c>
      <c r="M250" s="446"/>
      <c r="N250" s="446"/>
      <c r="O250" s="389">
        <v>31250</v>
      </c>
      <c r="P250" s="389"/>
      <c r="Q250" s="390"/>
      <c r="R250" s="447"/>
      <c r="S250" s="390"/>
      <c r="T250" s="383">
        <f t="shared" si="17"/>
        <v>0</v>
      </c>
      <c r="U250" s="384">
        <f t="shared" si="18"/>
        <v>0</v>
      </c>
      <c r="V250" s="446"/>
      <c r="W250" s="389"/>
      <c r="X250" s="448"/>
      <c r="Y250" s="390"/>
      <c r="Z250" s="447"/>
      <c r="AA250" s="446"/>
      <c r="AB250" s="446"/>
      <c r="AC250" s="389"/>
      <c r="AD250" s="389"/>
      <c r="AE250" s="392"/>
      <c r="AF250" s="447"/>
      <c r="AG250" s="389"/>
    </row>
    <row r="251" spans="1:33" s="404" customFormat="1" ht="12.75" customHeight="1">
      <c r="A251" s="442" t="s">
        <v>198</v>
      </c>
      <c r="B251" s="443" t="s">
        <v>213</v>
      </c>
      <c r="C251" s="443"/>
      <c r="D251" s="444">
        <v>163657</v>
      </c>
      <c r="E251" s="445">
        <v>8</v>
      </c>
      <c r="F251" s="376">
        <f t="shared" si="15"/>
        <v>237561</v>
      </c>
      <c r="G251" s="377">
        <f t="shared" si="16"/>
        <v>388272</v>
      </c>
      <c r="H251" s="446">
        <v>173689</v>
      </c>
      <c r="I251" s="389">
        <v>228085</v>
      </c>
      <c r="J251" s="446">
        <v>30870</v>
      </c>
      <c r="K251" s="390">
        <v>121383</v>
      </c>
      <c r="L251" s="447">
        <v>33002</v>
      </c>
      <c r="M251" s="446"/>
      <c r="N251" s="446"/>
      <c r="O251" s="389">
        <v>38804</v>
      </c>
      <c r="P251" s="389"/>
      <c r="Q251" s="390"/>
      <c r="R251" s="447"/>
      <c r="S251" s="390"/>
      <c r="T251" s="383">
        <f t="shared" si="17"/>
        <v>0</v>
      </c>
      <c r="U251" s="384">
        <f t="shared" si="18"/>
        <v>0</v>
      </c>
      <c r="V251" s="446"/>
      <c r="W251" s="389"/>
      <c r="X251" s="448"/>
      <c r="Y251" s="390"/>
      <c r="Z251" s="447"/>
      <c r="AA251" s="446"/>
      <c r="AB251" s="446"/>
      <c r="AC251" s="389"/>
      <c r="AD251" s="389"/>
      <c r="AE251" s="392"/>
      <c r="AF251" s="447"/>
      <c r="AG251" s="389"/>
    </row>
    <row r="252" spans="1:33" s="404" customFormat="1" ht="12.75" customHeight="1">
      <c r="A252" s="449" t="s">
        <v>198</v>
      </c>
      <c r="B252" s="443" t="s">
        <v>214</v>
      </c>
      <c r="C252" s="443"/>
      <c r="D252" s="450">
        <v>161688</v>
      </c>
      <c r="E252" s="451">
        <v>9</v>
      </c>
      <c r="F252" s="376">
        <f t="shared" si="15"/>
        <v>78413</v>
      </c>
      <c r="G252" s="377">
        <f t="shared" si="16"/>
        <v>75761</v>
      </c>
      <c r="H252" s="446">
        <v>52502</v>
      </c>
      <c r="I252" s="389">
        <v>55090</v>
      </c>
      <c r="J252" s="446">
        <v>16566</v>
      </c>
      <c r="K252" s="390">
        <v>15078</v>
      </c>
      <c r="L252" s="447">
        <v>7269</v>
      </c>
      <c r="M252" s="446">
        <v>1851</v>
      </c>
      <c r="N252" s="446">
        <v>225</v>
      </c>
      <c r="O252" s="389">
        <v>3523</v>
      </c>
      <c r="P252" s="389">
        <v>2070</v>
      </c>
      <c r="Q252" s="390"/>
      <c r="R252" s="447"/>
      <c r="S252" s="390"/>
      <c r="T252" s="383">
        <f t="shared" si="17"/>
        <v>0</v>
      </c>
      <c r="U252" s="384">
        <f t="shared" si="18"/>
        <v>0</v>
      </c>
      <c r="V252" s="446"/>
      <c r="W252" s="389"/>
      <c r="X252" s="448"/>
      <c r="Y252" s="390"/>
      <c r="Z252" s="447"/>
      <c r="AA252" s="446"/>
      <c r="AB252" s="446"/>
      <c r="AC252" s="389"/>
      <c r="AD252" s="389"/>
      <c r="AE252" s="392"/>
      <c r="AF252" s="447"/>
      <c r="AG252" s="389"/>
    </row>
    <row r="253" spans="1:33" s="404" customFormat="1" ht="12.75" customHeight="1">
      <c r="A253" s="442" t="s">
        <v>198</v>
      </c>
      <c r="B253" s="443" t="s">
        <v>215</v>
      </c>
      <c r="C253" s="443"/>
      <c r="D253" s="444">
        <v>161864</v>
      </c>
      <c r="E253" s="445">
        <v>9</v>
      </c>
      <c r="F253" s="376">
        <f t="shared" si="15"/>
        <v>141341</v>
      </c>
      <c r="G253" s="377">
        <f t="shared" si="16"/>
        <v>147566</v>
      </c>
      <c r="H253" s="446">
        <v>114280</v>
      </c>
      <c r="I253" s="389">
        <v>117477</v>
      </c>
      <c r="J253" s="446">
        <v>3253</v>
      </c>
      <c r="K253" s="390">
        <v>4072</v>
      </c>
      <c r="L253" s="447">
        <v>23808</v>
      </c>
      <c r="M253" s="446"/>
      <c r="N253" s="446"/>
      <c r="O253" s="389">
        <v>26017</v>
      </c>
      <c r="P253" s="389"/>
      <c r="Q253" s="390"/>
      <c r="R253" s="447"/>
      <c r="S253" s="390"/>
      <c r="T253" s="383">
        <f t="shared" si="17"/>
        <v>0</v>
      </c>
      <c r="U253" s="384">
        <f t="shared" si="18"/>
        <v>0</v>
      </c>
      <c r="V253" s="446"/>
      <c r="W253" s="389"/>
      <c r="X253" s="448"/>
      <c r="Y253" s="390"/>
      <c r="Z253" s="447"/>
      <c r="AA253" s="446"/>
      <c r="AB253" s="446"/>
      <c r="AC253" s="389"/>
      <c r="AD253" s="389"/>
      <c r="AE253" s="392"/>
      <c r="AF253" s="447"/>
      <c r="AG253" s="389"/>
    </row>
    <row r="254" spans="1:33" s="404" customFormat="1" ht="12.75" customHeight="1">
      <c r="A254" s="442" t="s">
        <v>198</v>
      </c>
      <c r="B254" s="443" t="s">
        <v>216</v>
      </c>
      <c r="C254" s="551" t="s">
        <v>785</v>
      </c>
      <c r="D254" s="444">
        <v>162122</v>
      </c>
      <c r="E254" s="445">
        <v>9</v>
      </c>
      <c r="F254" s="376">
        <f t="shared" si="15"/>
        <v>157309</v>
      </c>
      <c r="G254" s="377">
        <f t="shared" si="16"/>
        <v>164066</v>
      </c>
      <c r="H254" s="446">
        <v>114172</v>
      </c>
      <c r="I254" s="389">
        <v>112750</v>
      </c>
      <c r="J254" s="446">
        <v>3244</v>
      </c>
      <c r="K254" s="390">
        <v>3789</v>
      </c>
      <c r="L254" s="447">
        <v>37304</v>
      </c>
      <c r="M254" s="446">
        <v>794</v>
      </c>
      <c r="N254" s="446">
        <v>1795</v>
      </c>
      <c r="O254" s="389">
        <v>45293</v>
      </c>
      <c r="P254" s="389">
        <v>1342</v>
      </c>
      <c r="Q254" s="390">
        <v>892</v>
      </c>
      <c r="R254" s="447"/>
      <c r="S254" s="390"/>
      <c r="T254" s="383">
        <f t="shared" si="17"/>
        <v>0</v>
      </c>
      <c r="U254" s="384">
        <f t="shared" si="18"/>
        <v>0</v>
      </c>
      <c r="V254" s="446"/>
      <c r="W254" s="389"/>
      <c r="X254" s="448"/>
      <c r="Y254" s="390"/>
      <c r="Z254" s="447"/>
      <c r="AA254" s="446"/>
      <c r="AB254" s="446"/>
      <c r="AC254" s="389"/>
      <c r="AD254" s="389"/>
      <c r="AE254" s="392"/>
      <c r="AF254" s="447"/>
      <c r="AG254" s="389"/>
    </row>
    <row r="255" spans="1:33" s="404" customFormat="1" ht="12.75" customHeight="1">
      <c r="A255" s="442" t="s">
        <v>198</v>
      </c>
      <c r="B255" s="443" t="s">
        <v>217</v>
      </c>
      <c r="C255" s="443"/>
      <c r="D255" s="444">
        <v>162557</v>
      </c>
      <c r="E255" s="445">
        <v>9</v>
      </c>
      <c r="F255" s="376">
        <f t="shared" si="15"/>
        <v>74785</v>
      </c>
      <c r="G255" s="377">
        <f t="shared" si="16"/>
        <v>122265</v>
      </c>
      <c r="H255" s="446">
        <v>55337</v>
      </c>
      <c r="I255" s="389">
        <v>104884</v>
      </c>
      <c r="J255" s="446">
        <v>5020</v>
      </c>
      <c r="K255" s="390">
        <v>2237</v>
      </c>
      <c r="L255" s="447">
        <v>14428</v>
      </c>
      <c r="M255" s="446"/>
      <c r="N255" s="446"/>
      <c r="O255" s="389">
        <v>15144</v>
      </c>
      <c r="P255" s="389"/>
      <c r="Q255" s="390"/>
      <c r="R255" s="447"/>
      <c r="S255" s="390"/>
      <c r="T255" s="383">
        <f t="shared" si="17"/>
        <v>0</v>
      </c>
      <c r="U255" s="384">
        <f t="shared" si="18"/>
        <v>0</v>
      </c>
      <c r="V255" s="446"/>
      <c r="W255" s="389"/>
      <c r="X255" s="448"/>
      <c r="Y255" s="390"/>
      <c r="Z255" s="447"/>
      <c r="AA255" s="446"/>
      <c r="AB255" s="446"/>
      <c r="AC255" s="389"/>
      <c r="AD255" s="389"/>
      <c r="AE255" s="392"/>
      <c r="AF255" s="447"/>
      <c r="AG255" s="389"/>
    </row>
    <row r="256" spans="1:33" s="404" customFormat="1" ht="12.75" customHeight="1">
      <c r="A256" s="449" t="s">
        <v>198</v>
      </c>
      <c r="B256" s="443" t="s">
        <v>218</v>
      </c>
      <c r="C256" s="443"/>
      <c r="D256" s="450">
        <v>162690</v>
      </c>
      <c r="E256" s="451">
        <v>9</v>
      </c>
      <c r="F256" s="376">
        <f t="shared" si="15"/>
        <v>86223</v>
      </c>
      <c r="G256" s="377">
        <f t="shared" si="16"/>
        <v>92895</v>
      </c>
      <c r="H256" s="446">
        <v>68995</v>
      </c>
      <c r="I256" s="389">
        <v>74662</v>
      </c>
      <c r="J256" s="446">
        <v>7018</v>
      </c>
      <c r="K256" s="390">
        <v>5942</v>
      </c>
      <c r="L256" s="447">
        <v>9817</v>
      </c>
      <c r="M256" s="446">
        <v>0</v>
      </c>
      <c r="N256" s="446">
        <v>252</v>
      </c>
      <c r="O256" s="389">
        <v>12039</v>
      </c>
      <c r="P256" s="389"/>
      <c r="Q256" s="390">
        <v>147</v>
      </c>
      <c r="R256" s="447">
        <v>141</v>
      </c>
      <c r="S256" s="390">
        <v>105</v>
      </c>
      <c r="T256" s="383">
        <f t="shared" si="17"/>
        <v>0</v>
      </c>
      <c r="U256" s="384">
        <f t="shared" si="18"/>
        <v>0</v>
      </c>
      <c r="V256" s="446"/>
      <c r="W256" s="389"/>
      <c r="X256" s="448"/>
      <c r="Y256" s="390"/>
      <c r="Z256" s="447"/>
      <c r="AA256" s="446"/>
      <c r="AB256" s="446"/>
      <c r="AC256" s="389"/>
      <c r="AD256" s="389"/>
      <c r="AE256" s="392"/>
      <c r="AF256" s="447"/>
      <c r="AG256" s="389"/>
    </row>
    <row r="257" spans="1:33" s="404" customFormat="1" ht="12.75" customHeight="1">
      <c r="A257" s="442" t="s">
        <v>198</v>
      </c>
      <c r="B257" s="443" t="s">
        <v>219</v>
      </c>
      <c r="C257" s="443"/>
      <c r="D257" s="444">
        <v>162706</v>
      </c>
      <c r="E257" s="445">
        <v>9</v>
      </c>
      <c r="F257" s="376">
        <f t="shared" si="15"/>
        <v>123442</v>
      </c>
      <c r="G257" s="377">
        <f t="shared" si="16"/>
        <v>133500.5</v>
      </c>
      <c r="H257" s="446">
        <v>104332.5</v>
      </c>
      <c r="I257" s="389">
        <v>106584</v>
      </c>
      <c r="J257" s="446">
        <v>1424</v>
      </c>
      <c r="K257" s="390">
        <v>1777</v>
      </c>
      <c r="L257" s="447">
        <v>17685.5</v>
      </c>
      <c r="M257" s="446"/>
      <c r="N257" s="446"/>
      <c r="O257" s="389">
        <v>25139.5</v>
      </c>
      <c r="P257" s="389"/>
      <c r="Q257" s="390"/>
      <c r="R257" s="447"/>
      <c r="S257" s="390"/>
      <c r="T257" s="383">
        <f t="shared" si="17"/>
        <v>0</v>
      </c>
      <c r="U257" s="384">
        <f t="shared" si="18"/>
        <v>0</v>
      </c>
      <c r="V257" s="446"/>
      <c r="W257" s="389"/>
      <c r="X257" s="448"/>
      <c r="Y257" s="390"/>
      <c r="Z257" s="447"/>
      <c r="AA257" s="446"/>
      <c r="AB257" s="446"/>
      <c r="AC257" s="389"/>
      <c r="AD257" s="389"/>
      <c r="AE257" s="392"/>
      <c r="AF257" s="447"/>
      <c r="AG257" s="389"/>
    </row>
    <row r="258" spans="1:33" s="404" customFormat="1" ht="12.75" customHeight="1">
      <c r="A258" s="442" t="s">
        <v>198</v>
      </c>
      <c r="B258" s="443" t="s">
        <v>220</v>
      </c>
      <c r="C258" s="551" t="s">
        <v>785</v>
      </c>
      <c r="D258" s="444">
        <v>162779</v>
      </c>
      <c r="E258" s="445">
        <v>9</v>
      </c>
      <c r="F258" s="376">
        <f t="shared" si="15"/>
        <v>159884</v>
      </c>
      <c r="G258" s="377">
        <f t="shared" si="16"/>
        <v>177846</v>
      </c>
      <c r="H258" s="446">
        <v>142555</v>
      </c>
      <c r="I258" s="389">
        <v>156256</v>
      </c>
      <c r="J258" s="446">
        <v>5362</v>
      </c>
      <c r="K258" s="390">
        <v>7255</v>
      </c>
      <c r="L258" s="447">
        <v>11403</v>
      </c>
      <c r="M258" s="446">
        <v>66</v>
      </c>
      <c r="N258" s="446">
        <v>498</v>
      </c>
      <c r="O258" s="389">
        <v>13747</v>
      </c>
      <c r="P258" s="389">
        <v>9</v>
      </c>
      <c r="Q258" s="390">
        <v>579</v>
      </c>
      <c r="R258" s="447"/>
      <c r="S258" s="390"/>
      <c r="T258" s="383">
        <f t="shared" si="17"/>
        <v>0</v>
      </c>
      <c r="U258" s="384">
        <f t="shared" si="18"/>
        <v>0</v>
      </c>
      <c r="V258" s="446"/>
      <c r="W258" s="389"/>
      <c r="X258" s="448"/>
      <c r="Y258" s="390"/>
      <c r="Z258" s="447"/>
      <c r="AA258" s="446"/>
      <c r="AB258" s="446"/>
      <c r="AC258" s="389"/>
      <c r="AD258" s="389"/>
      <c r="AE258" s="392"/>
      <c r="AF258" s="447"/>
      <c r="AG258" s="389"/>
    </row>
    <row r="259" spans="1:33" s="404" customFormat="1" ht="12.75" customHeight="1">
      <c r="A259" s="442" t="s">
        <v>198</v>
      </c>
      <c r="B259" s="548" t="s">
        <v>221</v>
      </c>
      <c r="C259" s="549" t="s">
        <v>902</v>
      </c>
      <c r="D259" s="444">
        <v>405872</v>
      </c>
      <c r="E259" s="550">
        <v>9</v>
      </c>
      <c r="F259" s="376">
        <f t="shared" si="15"/>
        <v>64893</v>
      </c>
      <c r="G259" s="377">
        <f t="shared" si="16"/>
        <v>79864</v>
      </c>
      <c r="H259" s="446">
        <v>57634</v>
      </c>
      <c r="I259" s="389">
        <v>71008</v>
      </c>
      <c r="J259" s="446">
        <v>0</v>
      </c>
      <c r="K259" s="390">
        <v>0</v>
      </c>
      <c r="L259" s="447">
        <v>7160</v>
      </c>
      <c r="M259" s="446">
        <v>99</v>
      </c>
      <c r="N259" s="446"/>
      <c r="O259" s="389">
        <v>8727</v>
      </c>
      <c r="P259" s="389">
        <v>129</v>
      </c>
      <c r="Q259" s="390"/>
      <c r="R259" s="447">
        <v>0</v>
      </c>
      <c r="S259" s="390"/>
      <c r="T259" s="383">
        <f t="shared" si="17"/>
        <v>0</v>
      </c>
      <c r="U259" s="384">
        <f t="shared" si="18"/>
        <v>0</v>
      </c>
      <c r="V259" s="446"/>
      <c r="W259" s="389"/>
      <c r="X259" s="448"/>
      <c r="Y259" s="390"/>
      <c r="Z259" s="447"/>
      <c r="AA259" s="446"/>
      <c r="AB259" s="446"/>
      <c r="AC259" s="389"/>
      <c r="AD259" s="389"/>
      <c r="AE259" s="392"/>
      <c r="AF259" s="447"/>
      <c r="AG259" s="389"/>
    </row>
    <row r="260" spans="1:33" s="404" customFormat="1" ht="12.75" customHeight="1">
      <c r="A260" s="442" t="s">
        <v>198</v>
      </c>
      <c r="B260" s="443" t="s">
        <v>222</v>
      </c>
      <c r="C260" s="443"/>
      <c r="D260" s="444">
        <v>162104</v>
      </c>
      <c r="E260" s="445">
        <v>10</v>
      </c>
      <c r="F260" s="376">
        <f t="shared" si="15"/>
        <v>45023.5</v>
      </c>
      <c r="G260" s="377">
        <f t="shared" si="16"/>
        <v>48917.5</v>
      </c>
      <c r="H260" s="446">
        <v>38768.5</v>
      </c>
      <c r="I260" s="389">
        <v>40188.5</v>
      </c>
      <c r="J260" s="446">
        <v>1191</v>
      </c>
      <c r="K260" s="390">
        <v>1130</v>
      </c>
      <c r="L260" s="447">
        <v>5064</v>
      </c>
      <c r="M260" s="446"/>
      <c r="N260" s="446"/>
      <c r="O260" s="389">
        <v>7599</v>
      </c>
      <c r="P260" s="389"/>
      <c r="Q260" s="390"/>
      <c r="R260" s="447"/>
      <c r="S260" s="390"/>
      <c r="T260" s="383">
        <f t="shared" si="17"/>
        <v>0</v>
      </c>
      <c r="U260" s="384">
        <f t="shared" si="18"/>
        <v>0</v>
      </c>
      <c r="V260" s="446"/>
      <c r="W260" s="389"/>
      <c r="X260" s="448"/>
      <c r="Y260" s="390"/>
      <c r="Z260" s="447"/>
      <c r="AA260" s="446"/>
      <c r="AB260" s="446"/>
      <c r="AC260" s="389"/>
      <c r="AD260" s="389"/>
      <c r="AE260" s="392"/>
      <c r="AF260" s="447"/>
      <c r="AG260" s="389"/>
    </row>
    <row r="261" spans="1:33" s="404" customFormat="1" ht="12.75" customHeight="1">
      <c r="A261" s="442" t="s">
        <v>198</v>
      </c>
      <c r="B261" s="443" t="s">
        <v>223</v>
      </c>
      <c r="C261" s="443"/>
      <c r="D261" s="444">
        <v>162168</v>
      </c>
      <c r="E261" s="445">
        <v>10</v>
      </c>
      <c r="F261" s="376">
        <f t="shared" si="15"/>
        <v>50464</v>
      </c>
      <c r="G261" s="377">
        <f t="shared" si="16"/>
        <v>54337</v>
      </c>
      <c r="H261" s="446">
        <v>35423</v>
      </c>
      <c r="I261" s="389">
        <v>37715</v>
      </c>
      <c r="J261" s="446">
        <v>8221</v>
      </c>
      <c r="K261" s="390">
        <v>9220</v>
      </c>
      <c r="L261" s="447">
        <v>5878</v>
      </c>
      <c r="M261" s="446">
        <v>942</v>
      </c>
      <c r="N261" s="446"/>
      <c r="O261" s="389">
        <v>6329</v>
      </c>
      <c r="P261" s="389">
        <v>1043</v>
      </c>
      <c r="Q261" s="390"/>
      <c r="R261" s="447"/>
      <c r="S261" s="390">
        <v>30</v>
      </c>
      <c r="T261" s="383">
        <f t="shared" si="17"/>
        <v>0</v>
      </c>
      <c r="U261" s="384">
        <f t="shared" si="18"/>
        <v>0</v>
      </c>
      <c r="V261" s="446"/>
      <c r="W261" s="389"/>
      <c r="X261" s="448"/>
      <c r="Y261" s="390"/>
      <c r="Z261" s="447"/>
      <c r="AA261" s="446"/>
      <c r="AB261" s="446"/>
      <c r="AC261" s="389"/>
      <c r="AD261" s="389"/>
      <c r="AE261" s="392"/>
      <c r="AF261" s="447"/>
      <c r="AG261" s="389"/>
    </row>
    <row r="262" spans="1:33" s="404" customFormat="1" ht="12.75" customHeight="1">
      <c r="A262" s="442" t="s">
        <v>198</v>
      </c>
      <c r="B262" s="443" t="s">
        <v>224</v>
      </c>
      <c r="C262" s="443"/>
      <c r="D262" s="444">
        <v>162609</v>
      </c>
      <c r="E262" s="445">
        <v>10</v>
      </c>
      <c r="F262" s="376">
        <f t="shared" si="15"/>
        <v>19093.55</v>
      </c>
      <c r="G262" s="377">
        <f t="shared" si="16"/>
        <v>20422.75</v>
      </c>
      <c r="H262" s="446">
        <v>16163.55</v>
      </c>
      <c r="I262" s="389">
        <v>16790.75</v>
      </c>
      <c r="J262" s="446">
        <v>1308</v>
      </c>
      <c r="K262" s="390">
        <v>1276</v>
      </c>
      <c r="L262" s="447">
        <v>1339</v>
      </c>
      <c r="M262" s="446">
        <v>283</v>
      </c>
      <c r="N262" s="446"/>
      <c r="O262" s="389">
        <v>2125</v>
      </c>
      <c r="P262" s="389">
        <v>231</v>
      </c>
      <c r="Q262" s="390"/>
      <c r="R262" s="447"/>
      <c r="S262" s="390"/>
      <c r="T262" s="383">
        <f t="shared" si="17"/>
        <v>0</v>
      </c>
      <c r="U262" s="384">
        <f t="shared" si="18"/>
        <v>0</v>
      </c>
      <c r="V262" s="446"/>
      <c r="W262" s="389"/>
      <c r="X262" s="448"/>
      <c r="Y262" s="390"/>
      <c r="Z262" s="447"/>
      <c r="AA262" s="446"/>
      <c r="AB262" s="446"/>
      <c r="AC262" s="389"/>
      <c r="AD262" s="389"/>
      <c r="AE262" s="392"/>
      <c r="AF262" s="447"/>
      <c r="AG262" s="389"/>
    </row>
    <row r="263" spans="1:33" s="404" customFormat="1" ht="12.75" customHeight="1">
      <c r="A263" s="442" t="s">
        <v>198</v>
      </c>
      <c r="B263" s="548" t="s">
        <v>225</v>
      </c>
      <c r="C263" s="549" t="s">
        <v>902</v>
      </c>
      <c r="D263" s="444">
        <v>164313</v>
      </c>
      <c r="E263" s="550">
        <v>9</v>
      </c>
      <c r="F263" s="376">
        <f t="shared" si="15"/>
        <v>73693</v>
      </c>
      <c r="G263" s="377">
        <f t="shared" si="16"/>
        <v>77350</v>
      </c>
      <c r="H263" s="446">
        <v>64007</v>
      </c>
      <c r="I263" s="389">
        <v>67409</v>
      </c>
      <c r="J263" s="446">
        <v>1294</v>
      </c>
      <c r="K263" s="390">
        <v>1211</v>
      </c>
      <c r="L263" s="447">
        <v>8362</v>
      </c>
      <c r="M263" s="446">
        <v>30</v>
      </c>
      <c r="N263" s="446">
        <v>0</v>
      </c>
      <c r="O263" s="389">
        <v>8658</v>
      </c>
      <c r="P263" s="389">
        <v>72</v>
      </c>
      <c r="Q263" s="390"/>
      <c r="R263" s="447"/>
      <c r="S263" s="390"/>
      <c r="T263" s="383">
        <f t="shared" si="17"/>
        <v>0</v>
      </c>
      <c r="U263" s="384">
        <f t="shared" si="18"/>
        <v>0</v>
      </c>
      <c r="V263" s="446"/>
      <c r="W263" s="389"/>
      <c r="X263" s="448"/>
      <c r="Y263" s="390"/>
      <c r="Z263" s="447"/>
      <c r="AA263" s="446"/>
      <c r="AB263" s="446"/>
      <c r="AC263" s="389"/>
      <c r="AD263" s="389"/>
      <c r="AE263" s="392"/>
      <c r="AF263" s="447"/>
      <c r="AG263" s="389"/>
    </row>
    <row r="264" spans="1:33" s="404" customFormat="1" ht="12.75" customHeight="1">
      <c r="A264" s="442" t="s">
        <v>198</v>
      </c>
      <c r="B264" s="443" t="s">
        <v>226</v>
      </c>
      <c r="C264" s="443"/>
      <c r="D264" s="444">
        <v>163204</v>
      </c>
      <c r="E264" s="445">
        <v>15</v>
      </c>
      <c r="F264" s="376">
        <f t="shared" ref="F264:F327" si="19">SUM(H264,J264,L264,M264,N264,R264)</f>
        <v>384318</v>
      </c>
      <c r="G264" s="377">
        <f t="shared" ref="G264:G327" si="20">SUM(I264,K264,O264,P264,Q264,S264)</f>
        <v>422643</v>
      </c>
      <c r="H264" s="446">
        <v>0</v>
      </c>
      <c r="I264" s="389">
        <v>0</v>
      </c>
      <c r="J264" s="446">
        <v>55546</v>
      </c>
      <c r="K264" s="390">
        <v>57209</v>
      </c>
      <c r="L264" s="447">
        <v>328772</v>
      </c>
      <c r="M264" s="446"/>
      <c r="N264" s="446"/>
      <c r="O264" s="389">
        <v>365434</v>
      </c>
      <c r="P264" s="389"/>
      <c r="Q264" s="390"/>
      <c r="R264" s="447"/>
      <c r="S264" s="390"/>
      <c r="T264" s="383">
        <f t="shared" ref="T264:T327" si="21">SUM(V264,X264,Z264,AA264,AB264,AF264)</f>
        <v>159416</v>
      </c>
      <c r="U264" s="384">
        <f t="shared" ref="U264:U327" si="22">SUM(W264,Y264,AC264,AD264,AE264,AG264)</f>
        <v>173875</v>
      </c>
      <c r="V264" s="446">
        <v>0</v>
      </c>
      <c r="W264" s="389"/>
      <c r="X264" s="448">
        <v>5001</v>
      </c>
      <c r="Y264" s="390"/>
      <c r="Z264" s="447">
        <v>154415</v>
      </c>
      <c r="AA264" s="446"/>
      <c r="AB264" s="446"/>
      <c r="AC264" s="389">
        <v>173875</v>
      </c>
      <c r="AD264" s="389"/>
      <c r="AE264" s="392"/>
      <c r="AF264" s="447"/>
      <c r="AG264" s="389"/>
    </row>
    <row r="265" spans="1:33" s="404" customFormat="1" ht="12.75" customHeight="1">
      <c r="A265" s="452" t="s">
        <v>227</v>
      </c>
      <c r="B265" s="453" t="s">
        <v>228</v>
      </c>
      <c r="C265" s="453"/>
      <c r="D265" s="454">
        <v>176080</v>
      </c>
      <c r="E265" s="410">
        <v>1</v>
      </c>
      <c r="F265" s="376">
        <f t="shared" si="19"/>
        <v>398852</v>
      </c>
      <c r="G265" s="377">
        <f t="shared" si="20"/>
        <v>418441</v>
      </c>
      <c r="H265" s="388">
        <v>367041</v>
      </c>
      <c r="I265" s="389">
        <v>384596</v>
      </c>
      <c r="J265" s="388">
        <v>12877</v>
      </c>
      <c r="K265" s="390">
        <v>11858</v>
      </c>
      <c r="L265" s="381">
        <v>16125</v>
      </c>
      <c r="M265" s="388">
        <v>324</v>
      </c>
      <c r="N265" s="388">
        <v>496</v>
      </c>
      <c r="O265" s="389">
        <v>21750</v>
      </c>
      <c r="P265" s="389">
        <v>159</v>
      </c>
      <c r="Q265" s="390">
        <v>78</v>
      </c>
      <c r="R265" s="381">
        <v>1989</v>
      </c>
      <c r="S265" s="390"/>
      <c r="T265" s="383">
        <f t="shared" si="21"/>
        <v>60525</v>
      </c>
      <c r="U265" s="384">
        <f t="shared" si="22"/>
        <v>64561</v>
      </c>
      <c r="V265" s="388">
        <v>45166</v>
      </c>
      <c r="W265" s="389">
        <v>48053</v>
      </c>
      <c r="X265" s="391">
        <v>3303</v>
      </c>
      <c r="Y265" s="390">
        <v>2945</v>
      </c>
      <c r="Z265" s="381">
        <v>11717</v>
      </c>
      <c r="AA265" s="388">
        <v>315</v>
      </c>
      <c r="AB265" s="388">
        <v>18</v>
      </c>
      <c r="AC265" s="389">
        <v>13172</v>
      </c>
      <c r="AD265" s="389">
        <v>388</v>
      </c>
      <c r="AE265" s="392">
        <v>3</v>
      </c>
      <c r="AF265" s="381">
        <v>6</v>
      </c>
      <c r="AG265" s="389"/>
    </row>
    <row r="266" spans="1:33" s="404" customFormat="1" ht="12.75" customHeight="1">
      <c r="A266" s="452" t="s">
        <v>227</v>
      </c>
      <c r="B266" s="453" t="s">
        <v>229</v>
      </c>
      <c r="C266" s="453"/>
      <c r="D266" s="454">
        <v>176372</v>
      </c>
      <c r="E266" s="410">
        <v>1</v>
      </c>
      <c r="F266" s="376">
        <f t="shared" si="19"/>
        <v>341859</v>
      </c>
      <c r="G266" s="377">
        <f t="shared" si="20"/>
        <v>342644</v>
      </c>
      <c r="H266" s="388">
        <v>273586</v>
      </c>
      <c r="I266" s="389">
        <v>271156</v>
      </c>
      <c r="J266" s="388">
        <v>37588</v>
      </c>
      <c r="K266" s="390">
        <v>37295</v>
      </c>
      <c r="L266" s="381">
        <v>28235</v>
      </c>
      <c r="M266" s="388">
        <v>416</v>
      </c>
      <c r="N266" s="388">
        <v>2034</v>
      </c>
      <c r="O266" s="389">
        <v>31314</v>
      </c>
      <c r="P266" s="389">
        <v>317</v>
      </c>
      <c r="Q266" s="390">
        <v>2562</v>
      </c>
      <c r="R266" s="381"/>
      <c r="S266" s="390"/>
      <c r="T266" s="383">
        <f t="shared" si="21"/>
        <v>61276</v>
      </c>
      <c r="U266" s="384">
        <f t="shared" si="22"/>
        <v>59544</v>
      </c>
      <c r="V266" s="388">
        <v>41915</v>
      </c>
      <c r="W266" s="389">
        <v>37332</v>
      </c>
      <c r="X266" s="391">
        <v>7134</v>
      </c>
      <c r="Y266" s="390">
        <v>5629</v>
      </c>
      <c r="Z266" s="381">
        <v>11914</v>
      </c>
      <c r="AA266" s="388">
        <v>310</v>
      </c>
      <c r="AB266" s="388">
        <v>3</v>
      </c>
      <c r="AC266" s="389">
        <v>16379</v>
      </c>
      <c r="AD266" s="389">
        <v>201</v>
      </c>
      <c r="AE266" s="392">
        <v>3</v>
      </c>
      <c r="AF266" s="381"/>
      <c r="AG266" s="389"/>
    </row>
    <row r="267" spans="1:33" s="404" customFormat="1" ht="12.75" customHeight="1">
      <c r="A267" s="452" t="s">
        <v>227</v>
      </c>
      <c r="B267" s="453" t="s">
        <v>230</v>
      </c>
      <c r="C267" s="453"/>
      <c r="D267" s="454">
        <v>175856</v>
      </c>
      <c r="E267" s="410">
        <v>2</v>
      </c>
      <c r="F267" s="376">
        <f t="shared" si="19"/>
        <v>151394</v>
      </c>
      <c r="G267" s="377">
        <f t="shared" si="20"/>
        <v>162509.5</v>
      </c>
      <c r="H267" s="388">
        <v>141291</v>
      </c>
      <c r="I267" s="389">
        <v>147783.5</v>
      </c>
      <c r="J267" s="388">
        <v>5751</v>
      </c>
      <c r="K267" s="390">
        <v>11221</v>
      </c>
      <c r="L267" s="381">
        <v>4352</v>
      </c>
      <c r="M267" s="388"/>
      <c r="N267" s="388"/>
      <c r="O267" s="389">
        <v>3505</v>
      </c>
      <c r="P267" s="389"/>
      <c r="Q267" s="390"/>
      <c r="R267" s="381"/>
      <c r="S267" s="390"/>
      <c r="T267" s="383">
        <f t="shared" si="21"/>
        <v>27498</v>
      </c>
      <c r="U267" s="384">
        <f t="shared" si="22"/>
        <v>30916.5</v>
      </c>
      <c r="V267" s="388">
        <v>19342</v>
      </c>
      <c r="W267" s="389">
        <v>20721.5</v>
      </c>
      <c r="X267" s="391">
        <v>6577</v>
      </c>
      <c r="Y267" s="390">
        <v>9569</v>
      </c>
      <c r="Z267" s="381">
        <v>1579</v>
      </c>
      <c r="AA267" s="388"/>
      <c r="AB267" s="388"/>
      <c r="AC267" s="389">
        <v>626</v>
      </c>
      <c r="AD267" s="389"/>
      <c r="AE267" s="392"/>
      <c r="AF267" s="381"/>
      <c r="AG267" s="389"/>
    </row>
    <row r="268" spans="1:33" s="404" customFormat="1" ht="12.75" customHeight="1">
      <c r="A268" s="452" t="s">
        <v>227</v>
      </c>
      <c r="B268" s="453" t="s">
        <v>231</v>
      </c>
      <c r="C268" s="453"/>
      <c r="D268" s="454">
        <v>176017</v>
      </c>
      <c r="E268" s="410">
        <v>2</v>
      </c>
      <c r="F268" s="376">
        <f t="shared" si="19"/>
        <v>382246</v>
      </c>
      <c r="G268" s="377">
        <f t="shared" si="20"/>
        <v>414725</v>
      </c>
      <c r="H268" s="388">
        <v>342784</v>
      </c>
      <c r="I268" s="389">
        <v>372564</v>
      </c>
      <c r="J268" s="388">
        <v>22493</v>
      </c>
      <c r="K268" s="390">
        <v>24938</v>
      </c>
      <c r="L268" s="381">
        <v>7300</v>
      </c>
      <c r="M268" s="388">
        <v>9666</v>
      </c>
      <c r="N268" s="388" t="s">
        <v>59</v>
      </c>
      <c r="O268" s="389">
        <v>8951</v>
      </c>
      <c r="P268" s="389">
        <v>8266</v>
      </c>
      <c r="Q268" s="390"/>
      <c r="R268" s="381">
        <v>3</v>
      </c>
      <c r="S268" s="390">
        <v>6</v>
      </c>
      <c r="T268" s="383">
        <f t="shared" si="21"/>
        <v>56168</v>
      </c>
      <c r="U268" s="384">
        <f t="shared" si="22"/>
        <v>56846</v>
      </c>
      <c r="V268" s="388">
        <v>50220</v>
      </c>
      <c r="W268" s="389">
        <v>51344</v>
      </c>
      <c r="X268" s="391">
        <v>3848</v>
      </c>
      <c r="Y268" s="390">
        <v>2643</v>
      </c>
      <c r="Z268" s="381">
        <v>1197</v>
      </c>
      <c r="AA268" s="388">
        <v>903</v>
      </c>
      <c r="AB268" s="388"/>
      <c r="AC268" s="389">
        <v>1812</v>
      </c>
      <c r="AD268" s="389">
        <v>1044</v>
      </c>
      <c r="AE268" s="392"/>
      <c r="AF268" s="381"/>
      <c r="AG268" s="389">
        <v>3</v>
      </c>
    </row>
    <row r="269" spans="1:33" s="404" customFormat="1" ht="12.75" customHeight="1">
      <c r="A269" s="452" t="s">
        <v>227</v>
      </c>
      <c r="B269" s="453" t="s">
        <v>232</v>
      </c>
      <c r="C269" s="453"/>
      <c r="D269" s="454">
        <v>175342</v>
      </c>
      <c r="E269" s="410">
        <v>4</v>
      </c>
      <c r="F269" s="376">
        <f t="shared" si="19"/>
        <v>77173</v>
      </c>
      <c r="G269" s="377">
        <f t="shared" si="20"/>
        <v>84461</v>
      </c>
      <c r="H269" s="388">
        <v>69408</v>
      </c>
      <c r="I269" s="389">
        <v>72596</v>
      </c>
      <c r="J269" s="388"/>
      <c r="K269" s="390"/>
      <c r="L269" s="381">
        <v>7624</v>
      </c>
      <c r="M269" s="388"/>
      <c r="N269" s="388">
        <v>141</v>
      </c>
      <c r="O269" s="389">
        <v>11651</v>
      </c>
      <c r="P269" s="389" t="s">
        <v>59</v>
      </c>
      <c r="Q269" s="390">
        <v>192</v>
      </c>
      <c r="R269" s="381"/>
      <c r="S269" s="390">
        <v>22</v>
      </c>
      <c r="T269" s="383">
        <f t="shared" si="21"/>
        <v>10253</v>
      </c>
      <c r="U269" s="384">
        <f t="shared" si="22"/>
        <v>12210</v>
      </c>
      <c r="V269" s="388">
        <v>6502</v>
      </c>
      <c r="W269" s="389">
        <v>7084</v>
      </c>
      <c r="X269" s="391"/>
      <c r="Y269" s="390"/>
      <c r="Z269" s="381">
        <v>3721</v>
      </c>
      <c r="AA269" s="388"/>
      <c r="AB269" s="388">
        <v>30</v>
      </c>
      <c r="AC269" s="389">
        <v>5087</v>
      </c>
      <c r="AD269" s="389"/>
      <c r="AE269" s="392">
        <v>39</v>
      </c>
      <c r="AF269" s="381"/>
      <c r="AG269" s="389"/>
    </row>
    <row r="270" spans="1:33" s="404" customFormat="1" ht="12.75" customHeight="1">
      <c r="A270" s="452" t="s">
        <v>227</v>
      </c>
      <c r="B270" s="453" t="s">
        <v>233</v>
      </c>
      <c r="C270" s="453"/>
      <c r="D270" s="454">
        <v>175616</v>
      </c>
      <c r="E270" s="410">
        <v>4</v>
      </c>
      <c r="F270" s="376">
        <f t="shared" si="19"/>
        <v>78580</v>
      </c>
      <c r="G270" s="377">
        <f t="shared" si="20"/>
        <v>77725</v>
      </c>
      <c r="H270" s="388">
        <v>66961</v>
      </c>
      <c r="I270" s="389">
        <v>62670.5</v>
      </c>
      <c r="J270" s="388">
        <v>1782</v>
      </c>
      <c r="K270" s="390">
        <v>2610</v>
      </c>
      <c r="L270" s="381">
        <v>9837</v>
      </c>
      <c r="M270" s="388"/>
      <c r="N270" s="388"/>
      <c r="O270" s="389">
        <v>12435.5</v>
      </c>
      <c r="P270" s="389"/>
      <c r="Q270" s="390"/>
      <c r="R270" s="381"/>
      <c r="S270" s="390">
        <v>9</v>
      </c>
      <c r="T270" s="383">
        <f t="shared" si="21"/>
        <v>14059</v>
      </c>
      <c r="U270" s="384">
        <f t="shared" si="22"/>
        <v>19448</v>
      </c>
      <c r="V270" s="388">
        <v>6809</v>
      </c>
      <c r="W270" s="389">
        <v>10402</v>
      </c>
      <c r="X270" s="391">
        <v>847</v>
      </c>
      <c r="Y270" s="390">
        <v>291</v>
      </c>
      <c r="Z270" s="381">
        <v>6343</v>
      </c>
      <c r="AA270" s="388"/>
      <c r="AB270" s="388">
        <v>60</v>
      </c>
      <c r="AC270" s="389">
        <v>8755</v>
      </c>
      <c r="AD270" s="389"/>
      <c r="AE270" s="392"/>
      <c r="AF270" s="381"/>
      <c r="AG270" s="389"/>
    </row>
    <row r="271" spans="1:33" s="404" customFormat="1" ht="12.75" customHeight="1">
      <c r="A271" s="452" t="s">
        <v>227</v>
      </c>
      <c r="B271" s="453" t="s">
        <v>234</v>
      </c>
      <c r="C271" s="453"/>
      <c r="D271" s="454">
        <v>176044</v>
      </c>
      <c r="E271" s="410">
        <v>4</v>
      </c>
      <c r="F271" s="376">
        <f t="shared" si="19"/>
        <v>69930</v>
      </c>
      <c r="G271" s="377">
        <f t="shared" si="20"/>
        <v>66168</v>
      </c>
      <c r="H271" s="388">
        <v>58749</v>
      </c>
      <c r="I271" s="389">
        <v>57652</v>
      </c>
      <c r="J271" s="388">
        <v>2652</v>
      </c>
      <c r="K271" s="390">
        <v>2091</v>
      </c>
      <c r="L271" s="381">
        <v>7362</v>
      </c>
      <c r="M271" s="388"/>
      <c r="N271" s="388">
        <v>321</v>
      </c>
      <c r="O271" s="389">
        <v>5042</v>
      </c>
      <c r="P271" s="389"/>
      <c r="Q271" s="390">
        <v>372</v>
      </c>
      <c r="R271" s="381">
        <v>846</v>
      </c>
      <c r="S271" s="390">
        <v>1011</v>
      </c>
      <c r="T271" s="383">
        <f t="shared" si="21"/>
        <v>6437</v>
      </c>
      <c r="U271" s="384">
        <f t="shared" si="22"/>
        <v>6652</v>
      </c>
      <c r="V271" s="388">
        <v>4756</v>
      </c>
      <c r="W271" s="389">
        <v>5006</v>
      </c>
      <c r="X271" s="391">
        <v>753</v>
      </c>
      <c r="Y271" s="390">
        <v>408</v>
      </c>
      <c r="Z271" s="381">
        <v>754</v>
      </c>
      <c r="AA271" s="388"/>
      <c r="AB271" s="388">
        <v>174</v>
      </c>
      <c r="AC271" s="389">
        <v>1061</v>
      </c>
      <c r="AD271" s="389"/>
      <c r="AE271" s="392">
        <v>177</v>
      </c>
      <c r="AF271" s="381"/>
      <c r="AG271" s="389"/>
    </row>
    <row r="272" spans="1:33" s="404" customFormat="1" ht="12.75" customHeight="1">
      <c r="A272" s="452" t="s">
        <v>227</v>
      </c>
      <c r="B272" s="453" t="s">
        <v>235</v>
      </c>
      <c r="C272" s="453"/>
      <c r="D272" s="454">
        <v>176035</v>
      </c>
      <c r="E272" s="410">
        <v>5</v>
      </c>
      <c r="F272" s="376">
        <f t="shared" si="19"/>
        <v>57804</v>
      </c>
      <c r="G272" s="377">
        <f t="shared" si="20"/>
        <v>63024</v>
      </c>
      <c r="H272" s="388">
        <v>45542</v>
      </c>
      <c r="I272" s="389">
        <v>43855</v>
      </c>
      <c r="J272" s="388">
        <v>648</v>
      </c>
      <c r="K272" s="390"/>
      <c r="L272" s="381">
        <v>11614</v>
      </c>
      <c r="M272" s="388"/>
      <c r="N272" s="388"/>
      <c r="O272" s="389">
        <v>19169</v>
      </c>
      <c r="P272" s="389"/>
      <c r="Q272" s="390"/>
      <c r="R272" s="381"/>
      <c r="S272" s="390"/>
      <c r="T272" s="383">
        <f t="shared" si="21"/>
        <v>4413</v>
      </c>
      <c r="U272" s="384">
        <f t="shared" si="22"/>
        <v>4501</v>
      </c>
      <c r="V272" s="388">
        <v>3192</v>
      </c>
      <c r="W272" s="389">
        <v>2986</v>
      </c>
      <c r="X272" s="391"/>
      <c r="Y272" s="390">
        <v>276</v>
      </c>
      <c r="Z272" s="381">
        <v>1221</v>
      </c>
      <c r="AA272" s="388"/>
      <c r="AB272" s="388"/>
      <c r="AC272" s="389">
        <v>1239</v>
      </c>
      <c r="AD272" s="389"/>
      <c r="AE272" s="392"/>
      <c r="AF272" s="381"/>
      <c r="AG272" s="389"/>
    </row>
    <row r="273" spans="1:33" s="404" customFormat="1" ht="12.75" customHeight="1">
      <c r="A273" s="455" t="s">
        <v>227</v>
      </c>
      <c r="B273" s="456" t="s">
        <v>236</v>
      </c>
      <c r="C273" s="456"/>
      <c r="D273" s="421">
        <v>175786</v>
      </c>
      <c r="E273" s="457">
        <v>8</v>
      </c>
      <c r="F273" s="376">
        <f t="shared" si="19"/>
        <v>283185</v>
      </c>
      <c r="G273" s="377">
        <f t="shared" si="20"/>
        <v>340377</v>
      </c>
      <c r="H273" s="388">
        <v>249278</v>
      </c>
      <c r="I273" s="389">
        <v>291407</v>
      </c>
      <c r="J273" s="388"/>
      <c r="K273" s="390"/>
      <c r="L273" s="381">
        <v>33907</v>
      </c>
      <c r="M273" s="388"/>
      <c r="N273" s="388"/>
      <c r="O273" s="389">
        <v>48970</v>
      </c>
      <c r="P273" s="389"/>
      <c r="Q273" s="390"/>
      <c r="R273" s="381"/>
      <c r="S273" s="390"/>
      <c r="T273" s="383">
        <f t="shared" si="21"/>
        <v>0</v>
      </c>
      <c r="U273" s="384">
        <f t="shared" si="22"/>
        <v>0</v>
      </c>
      <c r="V273" s="388"/>
      <c r="W273" s="389"/>
      <c r="X273" s="391"/>
      <c r="Y273" s="390"/>
      <c r="Z273" s="381"/>
      <c r="AA273" s="388"/>
      <c r="AB273" s="388"/>
      <c r="AC273" s="389"/>
      <c r="AD273" s="389"/>
      <c r="AE273" s="392"/>
      <c r="AF273" s="381"/>
      <c r="AG273" s="389"/>
    </row>
    <row r="274" spans="1:33" s="404" customFormat="1" ht="12.75" customHeight="1">
      <c r="A274" s="458" t="s">
        <v>227</v>
      </c>
      <c r="B274" s="456" t="s">
        <v>237</v>
      </c>
      <c r="C274" s="456"/>
      <c r="D274" s="459">
        <v>176071</v>
      </c>
      <c r="E274" s="419">
        <v>8</v>
      </c>
      <c r="F274" s="376">
        <f t="shared" si="19"/>
        <v>236034</v>
      </c>
      <c r="G274" s="377">
        <f t="shared" si="20"/>
        <v>260228</v>
      </c>
      <c r="H274" s="388">
        <v>201358</v>
      </c>
      <c r="I274" s="389">
        <v>217283</v>
      </c>
      <c r="J274" s="388"/>
      <c r="K274" s="390"/>
      <c r="L274" s="381">
        <v>34676</v>
      </c>
      <c r="M274" s="388"/>
      <c r="N274" s="388"/>
      <c r="O274" s="389">
        <v>42945</v>
      </c>
      <c r="P274" s="389"/>
      <c r="Q274" s="390"/>
      <c r="R274" s="381"/>
      <c r="S274" s="390"/>
      <c r="T274" s="383">
        <f t="shared" si="21"/>
        <v>0</v>
      </c>
      <c r="U274" s="384">
        <f t="shared" si="22"/>
        <v>0</v>
      </c>
      <c r="V274" s="388"/>
      <c r="W274" s="389"/>
      <c r="X274" s="391"/>
      <c r="Y274" s="390"/>
      <c r="Z274" s="381"/>
      <c r="AA274" s="388"/>
      <c r="AB274" s="388"/>
      <c r="AC274" s="389"/>
      <c r="AD274" s="389"/>
      <c r="AE274" s="392"/>
      <c r="AF274" s="381"/>
      <c r="AG274" s="389"/>
    </row>
    <row r="275" spans="1:33" s="404" customFormat="1" ht="12.75" customHeight="1">
      <c r="A275" s="458" t="s">
        <v>227</v>
      </c>
      <c r="B275" s="456" t="s">
        <v>238</v>
      </c>
      <c r="C275" s="456"/>
      <c r="D275" s="459">
        <v>176178</v>
      </c>
      <c r="E275" s="419">
        <v>8</v>
      </c>
      <c r="F275" s="376">
        <f t="shared" si="19"/>
        <v>193298</v>
      </c>
      <c r="G275" s="377">
        <f t="shared" si="20"/>
        <v>219847</v>
      </c>
      <c r="H275" s="388">
        <v>165742</v>
      </c>
      <c r="I275" s="389">
        <v>183910</v>
      </c>
      <c r="J275" s="388"/>
      <c r="K275" s="390"/>
      <c r="L275" s="381">
        <v>27556</v>
      </c>
      <c r="M275" s="388"/>
      <c r="N275" s="388"/>
      <c r="O275" s="389">
        <v>35937</v>
      </c>
      <c r="P275" s="389"/>
      <c r="Q275" s="390"/>
      <c r="R275" s="381"/>
      <c r="S275" s="390"/>
      <c r="T275" s="383">
        <f t="shared" si="21"/>
        <v>0</v>
      </c>
      <c r="U275" s="384">
        <f t="shared" si="22"/>
        <v>0</v>
      </c>
      <c r="V275" s="388"/>
      <c r="W275" s="389"/>
      <c r="X275" s="391"/>
      <c r="Y275" s="390"/>
      <c r="Z275" s="381"/>
      <c r="AA275" s="388"/>
      <c r="AB275" s="388"/>
      <c r="AC275" s="389"/>
      <c r="AD275" s="389"/>
      <c r="AE275" s="392"/>
      <c r="AF275" s="381"/>
      <c r="AG275" s="389"/>
    </row>
    <row r="276" spans="1:33" s="404" customFormat="1" ht="12.75" customHeight="1">
      <c r="A276" s="455" t="s">
        <v>227</v>
      </c>
      <c r="B276" s="456" t="s">
        <v>239</v>
      </c>
      <c r="C276" s="456"/>
      <c r="D276" s="421">
        <v>175573</v>
      </c>
      <c r="E276" s="457">
        <v>9</v>
      </c>
      <c r="F276" s="376">
        <f t="shared" si="19"/>
        <v>91106</v>
      </c>
      <c r="G276" s="377">
        <f t="shared" si="20"/>
        <v>105575</v>
      </c>
      <c r="H276" s="388">
        <v>77445</v>
      </c>
      <c r="I276" s="389">
        <v>85329</v>
      </c>
      <c r="J276" s="388"/>
      <c r="K276" s="390"/>
      <c r="L276" s="381">
        <v>13661</v>
      </c>
      <c r="M276" s="388"/>
      <c r="N276" s="388"/>
      <c r="O276" s="389">
        <v>20246</v>
      </c>
      <c r="P276" s="389"/>
      <c r="Q276" s="390"/>
      <c r="R276" s="381"/>
      <c r="S276" s="390"/>
      <c r="T276" s="383">
        <f t="shared" si="21"/>
        <v>0</v>
      </c>
      <c r="U276" s="384">
        <f t="shared" si="22"/>
        <v>0</v>
      </c>
      <c r="V276" s="388"/>
      <c r="W276" s="389"/>
      <c r="X276" s="391"/>
      <c r="Y276" s="390"/>
      <c r="Z276" s="381"/>
      <c r="AA276" s="388"/>
      <c r="AB276" s="388"/>
      <c r="AC276" s="389"/>
      <c r="AD276" s="389"/>
      <c r="AE276" s="392"/>
      <c r="AF276" s="381"/>
      <c r="AG276" s="389"/>
    </row>
    <row r="277" spans="1:33" s="404" customFormat="1" ht="12.75" customHeight="1">
      <c r="A277" s="458" t="s">
        <v>227</v>
      </c>
      <c r="B277" s="456" t="s">
        <v>240</v>
      </c>
      <c r="C277" s="456"/>
      <c r="D277" s="459">
        <v>175643</v>
      </c>
      <c r="E277" s="419">
        <v>9</v>
      </c>
      <c r="F277" s="376">
        <f t="shared" si="19"/>
        <v>68156</v>
      </c>
      <c r="G277" s="377">
        <f t="shared" si="20"/>
        <v>72447</v>
      </c>
      <c r="H277" s="388">
        <v>59498</v>
      </c>
      <c r="I277" s="389">
        <v>60992</v>
      </c>
      <c r="J277" s="388"/>
      <c r="K277" s="390"/>
      <c r="L277" s="381">
        <v>8658</v>
      </c>
      <c r="M277" s="388"/>
      <c r="N277" s="388"/>
      <c r="O277" s="389">
        <v>11455</v>
      </c>
      <c r="P277" s="389"/>
      <c r="Q277" s="390"/>
      <c r="R277" s="381"/>
      <c r="S277" s="390"/>
      <c r="T277" s="383">
        <f t="shared" si="21"/>
        <v>0</v>
      </c>
      <c r="U277" s="384">
        <f t="shared" si="22"/>
        <v>0</v>
      </c>
      <c r="V277" s="388"/>
      <c r="W277" s="389"/>
      <c r="X277" s="391"/>
      <c r="Y277" s="390"/>
      <c r="Z277" s="381"/>
      <c r="AA277" s="388"/>
      <c r="AB277" s="388"/>
      <c r="AC277" s="389"/>
      <c r="AD277" s="389"/>
      <c r="AE277" s="392"/>
      <c r="AF277" s="381"/>
      <c r="AG277" s="389"/>
    </row>
    <row r="278" spans="1:33" s="404" customFormat="1" ht="12.75" customHeight="1">
      <c r="A278" s="458" t="s">
        <v>227</v>
      </c>
      <c r="B278" s="456" t="s">
        <v>241</v>
      </c>
      <c r="C278" s="456"/>
      <c r="D278" s="459">
        <v>175652</v>
      </c>
      <c r="E278" s="419">
        <v>9</v>
      </c>
      <c r="F278" s="376">
        <f t="shared" si="19"/>
        <v>118056</v>
      </c>
      <c r="G278" s="377">
        <f t="shared" si="20"/>
        <v>134386</v>
      </c>
      <c r="H278" s="388">
        <v>88797</v>
      </c>
      <c r="I278" s="389">
        <v>95985</v>
      </c>
      <c r="J278" s="388"/>
      <c r="K278" s="390"/>
      <c r="L278" s="381">
        <v>29259</v>
      </c>
      <c r="M278" s="388"/>
      <c r="N278" s="388"/>
      <c r="O278" s="389">
        <v>38401</v>
      </c>
      <c r="P278" s="389"/>
      <c r="Q278" s="390"/>
      <c r="R278" s="381"/>
      <c r="S278" s="390"/>
      <c r="T278" s="383">
        <f t="shared" si="21"/>
        <v>0</v>
      </c>
      <c r="U278" s="384">
        <f t="shared" si="22"/>
        <v>0</v>
      </c>
      <c r="V278" s="388"/>
      <c r="W278" s="389"/>
      <c r="X278" s="391"/>
      <c r="Y278" s="390"/>
      <c r="Z278" s="381"/>
      <c r="AA278" s="388"/>
      <c r="AB278" s="388"/>
      <c r="AC278" s="389"/>
      <c r="AD278" s="389"/>
      <c r="AE278" s="392"/>
      <c r="AF278" s="381"/>
      <c r="AG278" s="389"/>
    </row>
    <row r="279" spans="1:33" s="404" customFormat="1" ht="12.75" customHeight="1">
      <c r="A279" s="458" t="s">
        <v>227</v>
      </c>
      <c r="B279" s="456" t="s">
        <v>242</v>
      </c>
      <c r="C279" s="552" t="s">
        <v>778</v>
      </c>
      <c r="D279" s="459">
        <v>175810</v>
      </c>
      <c r="E279" s="419">
        <v>9</v>
      </c>
      <c r="F279" s="376">
        <f t="shared" si="19"/>
        <v>141860</v>
      </c>
      <c r="G279" s="377">
        <f t="shared" si="20"/>
        <v>161641</v>
      </c>
      <c r="H279" s="388">
        <v>129895</v>
      </c>
      <c r="I279" s="389">
        <v>141652</v>
      </c>
      <c r="J279" s="388"/>
      <c r="K279" s="390"/>
      <c r="L279" s="381">
        <v>11965</v>
      </c>
      <c r="M279" s="388"/>
      <c r="N279" s="388"/>
      <c r="O279" s="389">
        <v>19989</v>
      </c>
      <c r="P279" s="389"/>
      <c r="Q279" s="390"/>
      <c r="R279" s="381"/>
      <c r="S279" s="390"/>
      <c r="T279" s="383">
        <f t="shared" si="21"/>
        <v>0</v>
      </c>
      <c r="U279" s="384">
        <f t="shared" si="22"/>
        <v>0</v>
      </c>
      <c r="V279" s="388"/>
      <c r="W279" s="389"/>
      <c r="X279" s="391"/>
      <c r="Y279" s="390"/>
      <c r="Z279" s="381"/>
      <c r="AA279" s="388"/>
      <c r="AB279" s="388"/>
      <c r="AC279" s="389"/>
      <c r="AD279" s="389"/>
      <c r="AE279" s="392"/>
      <c r="AF279" s="381"/>
      <c r="AG279" s="389"/>
    </row>
    <row r="280" spans="1:33" s="404" customFormat="1" ht="12.75" customHeight="1">
      <c r="A280" s="458" t="s">
        <v>227</v>
      </c>
      <c r="B280" s="553" t="s">
        <v>243</v>
      </c>
      <c r="C280" s="553" t="s">
        <v>903</v>
      </c>
      <c r="D280" s="459">
        <v>175829</v>
      </c>
      <c r="E280" s="554">
        <v>8</v>
      </c>
      <c r="F280" s="376">
        <f t="shared" si="19"/>
        <v>195807</v>
      </c>
      <c r="G280" s="377">
        <f t="shared" si="20"/>
        <v>226292</v>
      </c>
      <c r="H280" s="388">
        <v>131280</v>
      </c>
      <c r="I280" s="389">
        <v>138709</v>
      </c>
      <c r="J280" s="388"/>
      <c r="K280" s="390"/>
      <c r="L280" s="381">
        <v>64527</v>
      </c>
      <c r="M280" s="388"/>
      <c r="N280" s="388"/>
      <c r="O280" s="389">
        <v>87583</v>
      </c>
      <c r="P280" s="389"/>
      <c r="Q280" s="390"/>
      <c r="R280" s="381"/>
      <c r="S280" s="390"/>
      <c r="T280" s="383">
        <f t="shared" si="21"/>
        <v>0</v>
      </c>
      <c r="U280" s="384">
        <f t="shared" si="22"/>
        <v>0</v>
      </c>
      <c r="V280" s="388"/>
      <c r="W280" s="389"/>
      <c r="X280" s="391"/>
      <c r="Y280" s="390"/>
      <c r="Z280" s="381"/>
      <c r="AA280" s="388"/>
      <c r="AB280" s="388"/>
      <c r="AC280" s="389"/>
      <c r="AD280" s="389"/>
      <c r="AE280" s="392"/>
      <c r="AF280" s="381"/>
      <c r="AG280" s="389"/>
    </row>
    <row r="281" spans="1:33" s="404" customFormat="1" ht="12.75" customHeight="1">
      <c r="A281" s="458" t="s">
        <v>227</v>
      </c>
      <c r="B281" s="456" t="s">
        <v>244</v>
      </c>
      <c r="C281" s="552" t="s">
        <v>778</v>
      </c>
      <c r="D281" s="459">
        <v>175883</v>
      </c>
      <c r="E281" s="419">
        <v>9</v>
      </c>
      <c r="F281" s="376">
        <f t="shared" si="19"/>
        <v>134233</v>
      </c>
      <c r="G281" s="377">
        <f t="shared" si="20"/>
        <v>151640</v>
      </c>
      <c r="H281" s="388">
        <v>117478</v>
      </c>
      <c r="I281" s="389">
        <v>125810</v>
      </c>
      <c r="J281" s="388"/>
      <c r="K281" s="390"/>
      <c r="L281" s="381">
        <v>16755</v>
      </c>
      <c r="M281" s="388"/>
      <c r="N281" s="388"/>
      <c r="O281" s="389">
        <v>25830</v>
      </c>
      <c r="P281" s="389"/>
      <c r="Q281" s="390"/>
      <c r="R281" s="381"/>
      <c r="S281" s="390"/>
      <c r="T281" s="383">
        <f t="shared" si="21"/>
        <v>0</v>
      </c>
      <c r="U281" s="384">
        <f t="shared" si="22"/>
        <v>0</v>
      </c>
      <c r="V281" s="388"/>
      <c r="W281" s="389"/>
      <c r="X281" s="391"/>
      <c r="Y281" s="390"/>
      <c r="Z281" s="381"/>
      <c r="AA281" s="388"/>
      <c r="AB281" s="388"/>
      <c r="AC281" s="389"/>
      <c r="AD281" s="389"/>
      <c r="AE281" s="392"/>
      <c r="AF281" s="381"/>
      <c r="AG281" s="389"/>
    </row>
    <row r="282" spans="1:33" s="404" customFormat="1" ht="12.75" customHeight="1">
      <c r="A282" s="458" t="s">
        <v>227</v>
      </c>
      <c r="B282" s="456" t="s">
        <v>245</v>
      </c>
      <c r="C282" s="456"/>
      <c r="D282" s="459">
        <v>175935</v>
      </c>
      <c r="E282" s="419">
        <v>9</v>
      </c>
      <c r="F282" s="376">
        <f t="shared" si="19"/>
        <v>93664</v>
      </c>
      <c r="G282" s="377">
        <f t="shared" si="20"/>
        <v>102621</v>
      </c>
      <c r="H282" s="388">
        <v>83609</v>
      </c>
      <c r="I282" s="389">
        <v>88973</v>
      </c>
      <c r="J282" s="388"/>
      <c r="K282" s="390"/>
      <c r="L282" s="381">
        <v>10055</v>
      </c>
      <c r="M282" s="388"/>
      <c r="N282" s="388"/>
      <c r="O282" s="389">
        <v>13648</v>
      </c>
      <c r="P282" s="389"/>
      <c r="Q282" s="390"/>
      <c r="R282" s="381"/>
      <c r="S282" s="390"/>
      <c r="T282" s="383">
        <f t="shared" si="21"/>
        <v>0</v>
      </c>
      <c r="U282" s="384">
        <f t="shared" si="22"/>
        <v>0</v>
      </c>
      <c r="V282" s="388"/>
      <c r="W282" s="389"/>
      <c r="X282" s="391"/>
      <c r="Y282" s="390"/>
      <c r="Z282" s="381"/>
      <c r="AA282" s="388"/>
      <c r="AB282" s="388"/>
      <c r="AC282" s="389"/>
      <c r="AD282" s="389"/>
      <c r="AE282" s="392"/>
      <c r="AF282" s="381"/>
      <c r="AG282" s="389"/>
    </row>
    <row r="283" spans="1:33" s="404" customFormat="1" ht="12.75" customHeight="1">
      <c r="A283" s="458" t="s">
        <v>227</v>
      </c>
      <c r="B283" s="456" t="s">
        <v>246</v>
      </c>
      <c r="C283" s="456"/>
      <c r="D283" s="459">
        <v>176008</v>
      </c>
      <c r="E283" s="419">
        <v>9</v>
      </c>
      <c r="F283" s="376">
        <f t="shared" si="19"/>
        <v>83275</v>
      </c>
      <c r="G283" s="377">
        <f t="shared" si="20"/>
        <v>95578</v>
      </c>
      <c r="H283" s="388">
        <v>72965</v>
      </c>
      <c r="I283" s="389">
        <v>80457</v>
      </c>
      <c r="J283" s="388"/>
      <c r="K283" s="390"/>
      <c r="L283" s="381">
        <v>10310</v>
      </c>
      <c r="M283" s="388"/>
      <c r="N283" s="388"/>
      <c r="O283" s="389">
        <v>15121</v>
      </c>
      <c r="P283" s="389"/>
      <c r="Q283" s="390"/>
      <c r="R283" s="381"/>
      <c r="S283" s="390"/>
      <c r="T283" s="383">
        <f t="shared" si="21"/>
        <v>0</v>
      </c>
      <c r="U283" s="384">
        <f t="shared" si="22"/>
        <v>0</v>
      </c>
      <c r="V283" s="388"/>
      <c r="W283" s="389"/>
      <c r="X283" s="391"/>
      <c r="Y283" s="390"/>
      <c r="Z283" s="381"/>
      <c r="AA283" s="388"/>
      <c r="AB283" s="388"/>
      <c r="AC283" s="389"/>
      <c r="AD283" s="389"/>
      <c r="AE283" s="392"/>
      <c r="AF283" s="381"/>
      <c r="AG283" s="389"/>
    </row>
    <row r="284" spans="1:33" s="404" customFormat="1" ht="12.75" customHeight="1">
      <c r="A284" s="458" t="s">
        <v>227</v>
      </c>
      <c r="B284" s="456" t="s">
        <v>247</v>
      </c>
      <c r="C284" s="456"/>
      <c r="D284" s="459">
        <v>176169</v>
      </c>
      <c r="E284" s="419">
        <v>9</v>
      </c>
      <c r="F284" s="376">
        <f t="shared" si="19"/>
        <v>90748</v>
      </c>
      <c r="G284" s="377">
        <f t="shared" si="20"/>
        <v>98780</v>
      </c>
      <c r="H284" s="388">
        <v>81749</v>
      </c>
      <c r="I284" s="389">
        <v>86696</v>
      </c>
      <c r="J284" s="388"/>
      <c r="K284" s="390"/>
      <c r="L284" s="381">
        <v>8999</v>
      </c>
      <c r="M284" s="388"/>
      <c r="N284" s="388"/>
      <c r="O284" s="389">
        <v>12084</v>
      </c>
      <c r="P284" s="389"/>
      <c r="Q284" s="390"/>
      <c r="R284" s="381"/>
      <c r="S284" s="390"/>
      <c r="T284" s="383">
        <f t="shared" si="21"/>
        <v>0</v>
      </c>
      <c r="U284" s="384">
        <f t="shared" si="22"/>
        <v>0</v>
      </c>
      <c r="V284" s="388"/>
      <c r="W284" s="389"/>
      <c r="X284" s="391"/>
      <c r="Y284" s="390"/>
      <c r="Z284" s="381"/>
      <c r="AA284" s="388"/>
      <c r="AB284" s="388"/>
      <c r="AC284" s="389"/>
      <c r="AD284" s="389"/>
      <c r="AE284" s="392"/>
      <c r="AF284" s="381"/>
      <c r="AG284" s="389"/>
    </row>
    <row r="285" spans="1:33" s="404" customFormat="1" ht="12.75" customHeight="1">
      <c r="A285" s="455" t="s">
        <v>227</v>
      </c>
      <c r="B285" s="456" t="s">
        <v>248</v>
      </c>
      <c r="C285" s="456"/>
      <c r="D285" s="421">
        <v>176239</v>
      </c>
      <c r="E285" s="457">
        <v>9</v>
      </c>
      <c r="F285" s="376">
        <f t="shared" si="19"/>
        <v>114553</v>
      </c>
      <c r="G285" s="377">
        <f t="shared" si="20"/>
        <v>129439</v>
      </c>
      <c r="H285" s="388">
        <v>102908</v>
      </c>
      <c r="I285" s="389">
        <v>113535</v>
      </c>
      <c r="J285" s="388"/>
      <c r="K285" s="390"/>
      <c r="L285" s="381">
        <v>11645</v>
      </c>
      <c r="M285" s="388"/>
      <c r="N285" s="388"/>
      <c r="O285" s="389">
        <v>15904</v>
      </c>
      <c r="P285" s="389"/>
      <c r="Q285" s="390"/>
      <c r="R285" s="381"/>
      <c r="S285" s="390"/>
      <c r="T285" s="383">
        <f t="shared" si="21"/>
        <v>0</v>
      </c>
      <c r="U285" s="384">
        <f t="shared" si="22"/>
        <v>0</v>
      </c>
      <c r="V285" s="388"/>
      <c r="W285" s="389"/>
      <c r="X285" s="391"/>
      <c r="Y285" s="390"/>
      <c r="Z285" s="381"/>
      <c r="AA285" s="388"/>
      <c r="AB285" s="388"/>
      <c r="AC285" s="389"/>
      <c r="AD285" s="389"/>
      <c r="AE285" s="392"/>
      <c r="AF285" s="381"/>
      <c r="AG285" s="389"/>
    </row>
    <row r="286" spans="1:33" s="404" customFormat="1" ht="12.75" customHeight="1">
      <c r="A286" s="458" t="s">
        <v>227</v>
      </c>
      <c r="B286" s="456" t="s">
        <v>249</v>
      </c>
      <c r="C286" s="552" t="s">
        <v>780</v>
      </c>
      <c r="D286" s="459">
        <v>175519</v>
      </c>
      <c r="E286" s="419">
        <v>10</v>
      </c>
      <c r="F286" s="376">
        <f t="shared" si="19"/>
        <v>54854</v>
      </c>
      <c r="G286" s="377">
        <f t="shared" si="20"/>
        <v>63546</v>
      </c>
      <c r="H286" s="388">
        <v>51108</v>
      </c>
      <c r="I286" s="389">
        <v>59568</v>
      </c>
      <c r="J286" s="388"/>
      <c r="K286" s="390"/>
      <c r="L286" s="381">
        <v>3746</v>
      </c>
      <c r="M286" s="388"/>
      <c r="N286" s="388"/>
      <c r="O286" s="389">
        <v>3978</v>
      </c>
      <c r="P286" s="389"/>
      <c r="Q286" s="390"/>
      <c r="R286" s="381"/>
      <c r="S286" s="390"/>
      <c r="T286" s="383">
        <f t="shared" si="21"/>
        <v>0</v>
      </c>
      <c r="U286" s="384">
        <f t="shared" si="22"/>
        <v>0</v>
      </c>
      <c r="V286" s="388"/>
      <c r="W286" s="389"/>
      <c r="X286" s="391"/>
      <c r="Y286" s="390"/>
      <c r="Z286" s="381"/>
      <c r="AA286" s="388"/>
      <c r="AB286" s="388"/>
      <c r="AC286" s="389"/>
      <c r="AD286" s="389"/>
      <c r="AE286" s="392"/>
      <c r="AF286" s="381"/>
      <c r="AG286" s="389"/>
    </row>
    <row r="287" spans="1:33" s="404" customFormat="1" ht="12.75" customHeight="1">
      <c r="A287" s="458" t="s">
        <v>227</v>
      </c>
      <c r="B287" s="456" t="s">
        <v>250</v>
      </c>
      <c r="C287" s="456"/>
      <c r="D287" s="459">
        <v>176354</v>
      </c>
      <c r="E287" s="419">
        <v>10</v>
      </c>
      <c r="F287" s="376">
        <f t="shared" si="19"/>
        <v>53226</v>
      </c>
      <c r="G287" s="377">
        <f t="shared" si="20"/>
        <v>56549</v>
      </c>
      <c r="H287" s="388">
        <v>48131</v>
      </c>
      <c r="I287" s="389">
        <v>48821</v>
      </c>
      <c r="J287" s="388"/>
      <c r="K287" s="390"/>
      <c r="L287" s="381">
        <v>5095</v>
      </c>
      <c r="M287" s="388"/>
      <c r="N287" s="388"/>
      <c r="O287" s="389">
        <v>7728</v>
      </c>
      <c r="P287" s="389"/>
      <c r="Q287" s="390"/>
      <c r="R287" s="381"/>
      <c r="S287" s="390"/>
      <c r="T287" s="383">
        <f t="shared" si="21"/>
        <v>0</v>
      </c>
      <c r="U287" s="384">
        <f t="shared" si="22"/>
        <v>0</v>
      </c>
      <c r="V287" s="388"/>
      <c r="W287" s="389"/>
      <c r="X287" s="391"/>
      <c r="Y287" s="390"/>
      <c r="Z287" s="381"/>
      <c r="AA287" s="388"/>
      <c r="AB287" s="388"/>
      <c r="AC287" s="389"/>
      <c r="AD287" s="389"/>
      <c r="AE287" s="392"/>
      <c r="AF287" s="381"/>
      <c r="AG287" s="389"/>
    </row>
    <row r="288" spans="1:33" s="404" customFormat="1" ht="12.75" customHeight="1">
      <c r="A288" s="460" t="s">
        <v>251</v>
      </c>
      <c r="B288" s="461" t="s">
        <v>252</v>
      </c>
      <c r="C288" s="461"/>
      <c r="D288" s="462">
        <v>199193</v>
      </c>
      <c r="E288" s="463">
        <v>1</v>
      </c>
      <c r="F288" s="376">
        <f t="shared" si="19"/>
        <v>717672</v>
      </c>
      <c r="G288" s="377">
        <f t="shared" si="20"/>
        <v>725990</v>
      </c>
      <c r="H288" s="388">
        <v>654799</v>
      </c>
      <c r="I288" s="389">
        <v>652424</v>
      </c>
      <c r="J288" s="388">
        <v>3672</v>
      </c>
      <c r="K288" s="390">
        <v>2684</v>
      </c>
      <c r="L288" s="381">
        <v>49825</v>
      </c>
      <c r="M288" s="388" t="s">
        <v>253</v>
      </c>
      <c r="N288" s="388">
        <v>9376</v>
      </c>
      <c r="O288" s="389">
        <v>70435</v>
      </c>
      <c r="P288" s="389">
        <v>0</v>
      </c>
      <c r="Q288" s="390">
        <v>447</v>
      </c>
      <c r="R288" s="381"/>
      <c r="S288" s="390"/>
      <c r="T288" s="383">
        <f t="shared" si="21"/>
        <v>124350</v>
      </c>
      <c r="U288" s="384">
        <f t="shared" si="22"/>
        <v>134169</v>
      </c>
      <c r="V288" s="388">
        <v>105943</v>
      </c>
      <c r="W288" s="389">
        <v>110680</v>
      </c>
      <c r="X288" s="391">
        <v>5478</v>
      </c>
      <c r="Y288" s="390">
        <v>6029</v>
      </c>
      <c r="Z288" s="381">
        <v>12667</v>
      </c>
      <c r="AA288" s="388">
        <v>0</v>
      </c>
      <c r="AB288" s="388">
        <v>262</v>
      </c>
      <c r="AC288" s="389">
        <v>16980</v>
      </c>
      <c r="AD288" s="389">
        <v>0</v>
      </c>
      <c r="AE288" s="392">
        <v>480</v>
      </c>
      <c r="AF288" s="381"/>
      <c r="AG288" s="389"/>
    </row>
    <row r="289" spans="1:33" s="404" customFormat="1" ht="12.75" customHeight="1">
      <c r="A289" s="460" t="s">
        <v>251</v>
      </c>
      <c r="B289" s="461" t="s">
        <v>254</v>
      </c>
      <c r="C289" s="461"/>
      <c r="D289" s="462">
        <v>199120</v>
      </c>
      <c r="E289" s="463">
        <v>1</v>
      </c>
      <c r="F289" s="376">
        <f t="shared" si="19"/>
        <v>508040</v>
      </c>
      <c r="G289" s="377">
        <f t="shared" si="20"/>
        <v>508742</v>
      </c>
      <c r="H289" s="388">
        <v>492488</v>
      </c>
      <c r="I289" s="389">
        <v>493196</v>
      </c>
      <c r="J289" s="388">
        <v>579</v>
      </c>
      <c r="K289" s="390">
        <v>509</v>
      </c>
      <c r="L289" s="381">
        <v>14956</v>
      </c>
      <c r="M289" s="388">
        <v>17</v>
      </c>
      <c r="N289" s="388">
        <v>0</v>
      </c>
      <c r="O289" s="389">
        <v>15037</v>
      </c>
      <c r="P289" s="389">
        <v>0</v>
      </c>
      <c r="Q289" s="390">
        <v>0</v>
      </c>
      <c r="R289" s="381"/>
      <c r="S289" s="390"/>
      <c r="T289" s="383">
        <f t="shared" si="21"/>
        <v>190801</v>
      </c>
      <c r="U289" s="384">
        <f t="shared" si="22"/>
        <v>194086</v>
      </c>
      <c r="V289" s="388">
        <v>159915</v>
      </c>
      <c r="W289" s="389">
        <v>163862</v>
      </c>
      <c r="X289" s="391">
        <v>15610</v>
      </c>
      <c r="Y289" s="390">
        <v>15695</v>
      </c>
      <c r="Z289" s="381">
        <v>13626</v>
      </c>
      <c r="AA289" s="388">
        <v>1650</v>
      </c>
      <c r="AB289" s="388"/>
      <c r="AC289" s="389">
        <v>14092</v>
      </c>
      <c r="AD289" s="389">
        <v>437</v>
      </c>
      <c r="AE289" s="392"/>
      <c r="AF289" s="381"/>
      <c r="AG289" s="389"/>
    </row>
    <row r="290" spans="1:33" s="404" customFormat="1" ht="12.75" customHeight="1">
      <c r="A290" s="460" t="s">
        <v>251</v>
      </c>
      <c r="B290" s="461" t="s">
        <v>255</v>
      </c>
      <c r="C290" s="461"/>
      <c r="D290" s="462">
        <v>199139</v>
      </c>
      <c r="E290" s="463">
        <v>2</v>
      </c>
      <c r="F290" s="376">
        <f t="shared" si="19"/>
        <v>515155</v>
      </c>
      <c r="G290" s="377">
        <f t="shared" si="20"/>
        <v>550912</v>
      </c>
      <c r="H290" s="388">
        <v>498030</v>
      </c>
      <c r="I290" s="389">
        <v>530225</v>
      </c>
      <c r="J290" s="388">
        <v>288</v>
      </c>
      <c r="K290" s="390">
        <v>561</v>
      </c>
      <c r="L290" s="381">
        <v>16837</v>
      </c>
      <c r="M290" s="388">
        <v>0</v>
      </c>
      <c r="N290" s="388">
        <v>0</v>
      </c>
      <c r="O290" s="389">
        <v>20126</v>
      </c>
      <c r="P290" s="389">
        <v>0</v>
      </c>
      <c r="Q290" s="390">
        <v>0</v>
      </c>
      <c r="R290" s="381"/>
      <c r="S290" s="390"/>
      <c r="T290" s="383">
        <f t="shared" si="21"/>
        <v>72645</v>
      </c>
      <c r="U290" s="384">
        <f t="shared" si="22"/>
        <v>74936</v>
      </c>
      <c r="V290" s="388">
        <v>58874</v>
      </c>
      <c r="W290" s="389">
        <v>61026</v>
      </c>
      <c r="X290" s="391">
        <v>4544</v>
      </c>
      <c r="Y290" s="390">
        <v>3771</v>
      </c>
      <c r="Z290" s="381">
        <v>9215</v>
      </c>
      <c r="AA290" s="388">
        <v>12</v>
      </c>
      <c r="AB290" s="388"/>
      <c r="AC290" s="389">
        <v>10115</v>
      </c>
      <c r="AD290" s="389">
        <v>24</v>
      </c>
      <c r="AE290" s="392"/>
      <c r="AF290" s="381"/>
      <c r="AG290" s="389"/>
    </row>
    <row r="291" spans="1:33" s="404" customFormat="1" ht="12.75" customHeight="1">
      <c r="A291" s="460" t="s">
        <v>251</v>
      </c>
      <c r="B291" s="461" t="s">
        <v>256</v>
      </c>
      <c r="C291" s="555" t="s">
        <v>904</v>
      </c>
      <c r="D291" s="462">
        <v>199148</v>
      </c>
      <c r="E291" s="463">
        <v>2</v>
      </c>
      <c r="F291" s="376">
        <f t="shared" si="19"/>
        <v>423138</v>
      </c>
      <c r="G291" s="377">
        <f t="shared" si="20"/>
        <v>414299</v>
      </c>
      <c r="H291" s="388">
        <v>352269</v>
      </c>
      <c r="I291" s="389">
        <v>350322</v>
      </c>
      <c r="J291" s="388">
        <v>554</v>
      </c>
      <c r="K291" s="390">
        <v>336</v>
      </c>
      <c r="L291" s="381">
        <v>70184</v>
      </c>
      <c r="M291" s="388">
        <v>131</v>
      </c>
      <c r="N291" s="388">
        <v>0</v>
      </c>
      <c r="O291" s="389">
        <v>63569</v>
      </c>
      <c r="P291" s="389">
        <v>72</v>
      </c>
      <c r="Q291" s="390">
        <v>0</v>
      </c>
      <c r="R291" s="381"/>
      <c r="S291" s="390"/>
      <c r="T291" s="383">
        <f t="shared" si="21"/>
        <v>69415</v>
      </c>
      <c r="U291" s="384">
        <f t="shared" si="22"/>
        <v>70539</v>
      </c>
      <c r="V291" s="388">
        <v>55812</v>
      </c>
      <c r="W291" s="389">
        <v>55355</v>
      </c>
      <c r="X291" s="391">
        <v>2314</v>
      </c>
      <c r="Y291" s="390">
        <v>2232</v>
      </c>
      <c r="Z291" s="381">
        <v>11097</v>
      </c>
      <c r="AA291" s="388">
        <v>192</v>
      </c>
      <c r="AB291" s="388"/>
      <c r="AC291" s="389">
        <v>12633</v>
      </c>
      <c r="AD291" s="389">
        <v>319</v>
      </c>
      <c r="AE291" s="392"/>
      <c r="AF291" s="381"/>
      <c r="AG291" s="389"/>
    </row>
    <row r="292" spans="1:33" s="404" customFormat="1" ht="12.75" customHeight="1">
      <c r="A292" s="460" t="s">
        <v>251</v>
      </c>
      <c r="B292" s="461" t="s">
        <v>257</v>
      </c>
      <c r="C292" s="461"/>
      <c r="D292" s="462">
        <v>197869</v>
      </c>
      <c r="E292" s="463">
        <v>3</v>
      </c>
      <c r="F292" s="376">
        <f t="shared" si="19"/>
        <v>442948</v>
      </c>
      <c r="G292" s="377">
        <f t="shared" si="20"/>
        <v>453030</v>
      </c>
      <c r="H292" s="388">
        <v>429250</v>
      </c>
      <c r="I292" s="389">
        <v>435465</v>
      </c>
      <c r="J292" s="388">
        <v>10448</v>
      </c>
      <c r="K292" s="390">
        <v>9418</v>
      </c>
      <c r="L292" s="381">
        <v>3217</v>
      </c>
      <c r="M292" s="388">
        <v>33</v>
      </c>
      <c r="N292" s="388">
        <v>0</v>
      </c>
      <c r="O292" s="389">
        <v>8147</v>
      </c>
      <c r="P292" s="389">
        <v>0</v>
      </c>
      <c r="Q292" s="390">
        <v>0</v>
      </c>
      <c r="R292" s="381"/>
      <c r="S292" s="390"/>
      <c r="T292" s="383">
        <f t="shared" si="21"/>
        <v>38023</v>
      </c>
      <c r="U292" s="384">
        <f t="shared" si="22"/>
        <v>38084</v>
      </c>
      <c r="V292" s="388">
        <v>21459</v>
      </c>
      <c r="W292" s="389">
        <v>22203</v>
      </c>
      <c r="X292" s="391">
        <v>13793</v>
      </c>
      <c r="Y292" s="390">
        <v>11882</v>
      </c>
      <c r="Z292" s="381">
        <v>2771</v>
      </c>
      <c r="AA292" s="388">
        <v>0</v>
      </c>
      <c r="AB292" s="388"/>
      <c r="AC292" s="389">
        <v>3999</v>
      </c>
      <c r="AD292" s="389">
        <v>0</v>
      </c>
      <c r="AE292" s="392"/>
      <c r="AF292" s="381"/>
      <c r="AG292" s="389"/>
    </row>
    <row r="293" spans="1:33" s="404" customFormat="1" ht="12.75" customHeight="1">
      <c r="A293" s="460" t="s">
        <v>251</v>
      </c>
      <c r="B293" s="461" t="s">
        <v>258</v>
      </c>
      <c r="C293" s="555" t="s">
        <v>774</v>
      </c>
      <c r="D293" s="462">
        <v>198464</v>
      </c>
      <c r="E293" s="463">
        <v>3</v>
      </c>
      <c r="F293" s="376">
        <f t="shared" si="19"/>
        <v>583534</v>
      </c>
      <c r="G293" s="377">
        <f t="shared" si="20"/>
        <v>595157</v>
      </c>
      <c r="H293" s="388">
        <v>500495</v>
      </c>
      <c r="I293" s="389">
        <v>504109</v>
      </c>
      <c r="J293" s="388">
        <v>9108</v>
      </c>
      <c r="K293" s="390">
        <v>11952</v>
      </c>
      <c r="L293" s="381">
        <v>73931</v>
      </c>
      <c r="M293" s="388">
        <v>0</v>
      </c>
      <c r="N293" s="388">
        <v>0</v>
      </c>
      <c r="O293" s="389">
        <v>79096</v>
      </c>
      <c r="P293" s="389">
        <v>0</v>
      </c>
      <c r="Q293" s="390">
        <v>0</v>
      </c>
      <c r="R293" s="381"/>
      <c r="S293" s="390"/>
      <c r="T293" s="383">
        <f t="shared" si="21"/>
        <v>104929</v>
      </c>
      <c r="U293" s="384">
        <f t="shared" si="22"/>
        <v>108620</v>
      </c>
      <c r="V293" s="388">
        <v>51900</v>
      </c>
      <c r="W293" s="389">
        <v>55748</v>
      </c>
      <c r="X293" s="391">
        <v>6483</v>
      </c>
      <c r="Y293" s="390">
        <v>8351</v>
      </c>
      <c r="Z293" s="381">
        <v>46540</v>
      </c>
      <c r="AA293" s="388">
        <v>6</v>
      </c>
      <c r="AB293" s="388"/>
      <c r="AC293" s="389">
        <v>44521</v>
      </c>
      <c r="AD293" s="389">
        <v>0</v>
      </c>
      <c r="AE293" s="392"/>
      <c r="AF293" s="381"/>
      <c r="AG293" s="389"/>
    </row>
    <row r="294" spans="1:33" s="404" customFormat="1" ht="12.75" customHeight="1">
      <c r="A294" s="460" t="s">
        <v>251</v>
      </c>
      <c r="B294" s="461" t="s">
        <v>259</v>
      </c>
      <c r="C294" s="461"/>
      <c r="D294" s="462">
        <v>199102</v>
      </c>
      <c r="E294" s="463">
        <v>3</v>
      </c>
      <c r="F294" s="376">
        <f t="shared" si="19"/>
        <v>260799</v>
      </c>
      <c r="G294" s="377">
        <f t="shared" si="20"/>
        <v>270371</v>
      </c>
      <c r="H294" s="388">
        <v>243888</v>
      </c>
      <c r="I294" s="389">
        <v>248969</v>
      </c>
      <c r="J294" s="388">
        <v>2557</v>
      </c>
      <c r="K294" s="390">
        <v>2167</v>
      </c>
      <c r="L294" s="381">
        <v>14354</v>
      </c>
      <c r="M294" s="388">
        <v>0</v>
      </c>
      <c r="N294" s="388">
        <v>0</v>
      </c>
      <c r="O294" s="389">
        <v>19235</v>
      </c>
      <c r="P294" s="389">
        <v>0</v>
      </c>
      <c r="Q294" s="390">
        <v>0</v>
      </c>
      <c r="R294" s="381"/>
      <c r="S294" s="390"/>
      <c r="T294" s="383">
        <f t="shared" si="21"/>
        <v>34478</v>
      </c>
      <c r="U294" s="384">
        <f t="shared" si="22"/>
        <v>33492</v>
      </c>
      <c r="V294" s="388">
        <v>26542</v>
      </c>
      <c r="W294" s="389">
        <v>24393</v>
      </c>
      <c r="X294" s="391">
        <v>1458</v>
      </c>
      <c r="Y294" s="390">
        <v>1932</v>
      </c>
      <c r="Z294" s="381">
        <v>6478</v>
      </c>
      <c r="AA294" s="388">
        <v>0</v>
      </c>
      <c r="AB294" s="388"/>
      <c r="AC294" s="389">
        <v>7167</v>
      </c>
      <c r="AD294" s="389">
        <v>0</v>
      </c>
      <c r="AE294" s="392"/>
      <c r="AF294" s="381"/>
      <c r="AG294" s="389"/>
    </row>
    <row r="295" spans="1:33" s="404" customFormat="1" ht="12.75" customHeight="1">
      <c r="A295" s="460" t="s">
        <v>251</v>
      </c>
      <c r="B295" s="461" t="s">
        <v>260</v>
      </c>
      <c r="C295" s="461"/>
      <c r="D295" s="462">
        <v>199157</v>
      </c>
      <c r="E295" s="463">
        <v>3</v>
      </c>
      <c r="F295" s="376">
        <f t="shared" si="19"/>
        <v>183197</v>
      </c>
      <c r="G295" s="377">
        <f t="shared" si="20"/>
        <v>192314</v>
      </c>
      <c r="H295" s="388">
        <v>173375</v>
      </c>
      <c r="I295" s="389">
        <v>179702</v>
      </c>
      <c r="J295" s="388">
        <v>491</v>
      </c>
      <c r="K295" s="390">
        <v>195</v>
      </c>
      <c r="L295" s="381">
        <v>9331</v>
      </c>
      <c r="M295" s="388">
        <v>0</v>
      </c>
      <c r="N295" s="388">
        <v>0</v>
      </c>
      <c r="O295" s="389">
        <v>12417</v>
      </c>
      <c r="P295" s="389">
        <v>0</v>
      </c>
      <c r="Q295" s="390">
        <v>0</v>
      </c>
      <c r="R295" s="381"/>
      <c r="S295" s="390"/>
      <c r="T295" s="383">
        <f t="shared" si="21"/>
        <v>42311</v>
      </c>
      <c r="U295" s="384">
        <f t="shared" si="22"/>
        <v>43255</v>
      </c>
      <c r="V295" s="388">
        <v>34925</v>
      </c>
      <c r="W295" s="389">
        <v>34879</v>
      </c>
      <c r="X295" s="391">
        <v>997</v>
      </c>
      <c r="Y295" s="390">
        <v>1433</v>
      </c>
      <c r="Z295" s="381">
        <v>6335</v>
      </c>
      <c r="AA295" s="388">
        <v>54</v>
      </c>
      <c r="AB295" s="388"/>
      <c r="AC295" s="389">
        <v>6943</v>
      </c>
      <c r="AD295" s="389">
        <v>0</v>
      </c>
      <c r="AE295" s="392"/>
      <c r="AF295" s="381"/>
      <c r="AG295" s="389"/>
    </row>
    <row r="296" spans="1:33" s="404" customFormat="1" ht="12.75" customHeight="1">
      <c r="A296" s="460" t="s">
        <v>251</v>
      </c>
      <c r="B296" s="461" t="s">
        <v>261</v>
      </c>
      <c r="C296" s="461"/>
      <c r="D296" s="462">
        <v>199218</v>
      </c>
      <c r="E296" s="463">
        <v>3</v>
      </c>
      <c r="F296" s="376">
        <f t="shared" si="19"/>
        <v>334636</v>
      </c>
      <c r="G296" s="377">
        <f t="shared" si="20"/>
        <v>343061</v>
      </c>
      <c r="H296" s="388">
        <v>297323</v>
      </c>
      <c r="I296" s="389">
        <v>311729</v>
      </c>
      <c r="J296" s="388">
        <v>4859</v>
      </c>
      <c r="K296" s="390">
        <v>4085</v>
      </c>
      <c r="L296" s="381">
        <v>32454</v>
      </c>
      <c r="M296" s="388">
        <v>0</v>
      </c>
      <c r="N296" s="388">
        <v>0</v>
      </c>
      <c r="O296" s="389">
        <v>27157</v>
      </c>
      <c r="P296" s="389">
        <v>90</v>
      </c>
      <c r="Q296" s="390">
        <v>0</v>
      </c>
      <c r="R296" s="381"/>
      <c r="S296" s="390"/>
      <c r="T296" s="383">
        <f t="shared" si="21"/>
        <v>21463</v>
      </c>
      <c r="U296" s="384">
        <f t="shared" si="22"/>
        <v>21548</v>
      </c>
      <c r="V296" s="388">
        <v>16676</v>
      </c>
      <c r="W296" s="389">
        <v>17764</v>
      </c>
      <c r="X296" s="391">
        <v>1023</v>
      </c>
      <c r="Y296" s="390">
        <v>441</v>
      </c>
      <c r="Z296" s="381">
        <v>3764</v>
      </c>
      <c r="AA296" s="388">
        <v>0</v>
      </c>
      <c r="AB296" s="388"/>
      <c r="AC296" s="389">
        <v>3157</v>
      </c>
      <c r="AD296" s="389">
        <v>186</v>
      </c>
      <c r="AE296" s="392"/>
      <c r="AF296" s="381"/>
      <c r="AG296" s="389"/>
    </row>
    <row r="297" spans="1:33" s="404" customFormat="1" ht="12.75" customHeight="1">
      <c r="A297" s="460" t="s">
        <v>251</v>
      </c>
      <c r="B297" s="461" t="s">
        <v>262</v>
      </c>
      <c r="C297" s="461"/>
      <c r="D297" s="462">
        <v>200004</v>
      </c>
      <c r="E297" s="463">
        <v>3</v>
      </c>
      <c r="F297" s="376">
        <f t="shared" si="19"/>
        <v>205371</v>
      </c>
      <c r="G297" s="377">
        <f t="shared" si="20"/>
        <v>210642</v>
      </c>
      <c r="H297" s="388">
        <v>181847</v>
      </c>
      <c r="I297" s="389">
        <v>187349</v>
      </c>
      <c r="J297" s="388">
        <v>4968</v>
      </c>
      <c r="K297" s="390">
        <v>4540</v>
      </c>
      <c r="L297" s="381">
        <v>18463</v>
      </c>
      <c r="M297" s="388">
        <v>93</v>
      </c>
      <c r="N297" s="388">
        <v>0</v>
      </c>
      <c r="O297" s="389">
        <v>18597</v>
      </c>
      <c r="P297" s="389">
        <v>156</v>
      </c>
      <c r="Q297" s="390">
        <v>0</v>
      </c>
      <c r="R297" s="381"/>
      <c r="S297" s="390"/>
      <c r="T297" s="383">
        <f t="shared" si="21"/>
        <v>32753</v>
      </c>
      <c r="U297" s="384">
        <f t="shared" si="22"/>
        <v>33816</v>
      </c>
      <c r="V297" s="388">
        <v>18092</v>
      </c>
      <c r="W297" s="389">
        <v>18560</v>
      </c>
      <c r="X297" s="391">
        <v>1267</v>
      </c>
      <c r="Y297" s="390">
        <v>860</v>
      </c>
      <c r="Z297" s="381">
        <v>13211</v>
      </c>
      <c r="AA297" s="388">
        <v>183</v>
      </c>
      <c r="AB297" s="388"/>
      <c r="AC297" s="389">
        <v>14066</v>
      </c>
      <c r="AD297" s="389">
        <v>330</v>
      </c>
      <c r="AE297" s="392"/>
      <c r="AF297" s="381"/>
      <c r="AG297" s="389"/>
    </row>
    <row r="298" spans="1:33" s="404" customFormat="1" ht="12.75" customHeight="1">
      <c r="A298" s="460" t="s">
        <v>251</v>
      </c>
      <c r="B298" s="461" t="s">
        <v>263</v>
      </c>
      <c r="C298" s="555" t="s">
        <v>775</v>
      </c>
      <c r="D298" s="462">
        <v>198543</v>
      </c>
      <c r="E298" s="463">
        <v>4</v>
      </c>
      <c r="F298" s="376">
        <f t="shared" si="19"/>
        <v>155114</v>
      </c>
      <c r="G298" s="377">
        <f t="shared" si="20"/>
        <v>144829</v>
      </c>
      <c r="H298" s="388">
        <v>131700</v>
      </c>
      <c r="I298" s="389">
        <v>119447</v>
      </c>
      <c r="J298" s="388">
        <v>6417</v>
      </c>
      <c r="K298" s="390">
        <v>3310</v>
      </c>
      <c r="L298" s="381">
        <v>16997</v>
      </c>
      <c r="M298" s="388">
        <v>0</v>
      </c>
      <c r="N298" s="388">
        <v>0</v>
      </c>
      <c r="O298" s="389">
        <v>21922</v>
      </c>
      <c r="P298" s="389">
        <v>150</v>
      </c>
      <c r="Q298" s="390">
        <v>0</v>
      </c>
      <c r="R298" s="381"/>
      <c r="S298" s="390"/>
      <c r="T298" s="383">
        <f t="shared" si="21"/>
        <v>9056</v>
      </c>
      <c r="U298" s="384">
        <f t="shared" si="22"/>
        <v>9471</v>
      </c>
      <c r="V298" s="388">
        <v>6299</v>
      </c>
      <c r="W298" s="389">
        <v>5492</v>
      </c>
      <c r="X298" s="391">
        <v>1533</v>
      </c>
      <c r="Y298" s="390">
        <v>1681</v>
      </c>
      <c r="Z298" s="381">
        <v>1224</v>
      </c>
      <c r="AA298" s="388">
        <v>0</v>
      </c>
      <c r="AB298" s="388"/>
      <c r="AC298" s="389">
        <v>2298</v>
      </c>
      <c r="AD298" s="389">
        <v>0</v>
      </c>
      <c r="AE298" s="392"/>
      <c r="AF298" s="381"/>
      <c r="AG298" s="389"/>
    </row>
    <row r="299" spans="1:33" s="404" customFormat="1" ht="12.75" customHeight="1">
      <c r="A299" s="460" t="s">
        <v>251</v>
      </c>
      <c r="B299" s="461" t="s">
        <v>264</v>
      </c>
      <c r="C299" s="461"/>
      <c r="D299" s="462">
        <v>199281</v>
      </c>
      <c r="E299" s="463">
        <v>5</v>
      </c>
      <c r="F299" s="376">
        <f t="shared" si="19"/>
        <v>157555</v>
      </c>
      <c r="G299" s="377">
        <f t="shared" si="20"/>
        <v>169136</v>
      </c>
      <c r="H299" s="388">
        <v>126531</v>
      </c>
      <c r="I299" s="389">
        <v>131400</v>
      </c>
      <c r="J299" s="388">
        <v>3804</v>
      </c>
      <c r="K299" s="390">
        <v>4021</v>
      </c>
      <c r="L299" s="381">
        <v>26935</v>
      </c>
      <c r="M299" s="388">
        <v>285</v>
      </c>
      <c r="N299" s="388">
        <v>0</v>
      </c>
      <c r="O299" s="389">
        <v>33015</v>
      </c>
      <c r="P299" s="389">
        <v>700</v>
      </c>
      <c r="Q299" s="390">
        <v>0</v>
      </c>
      <c r="R299" s="381"/>
      <c r="S299" s="390"/>
      <c r="T299" s="383">
        <f t="shared" si="21"/>
        <v>10864</v>
      </c>
      <c r="U299" s="384">
        <f t="shared" si="22"/>
        <v>11092</v>
      </c>
      <c r="V299" s="388">
        <v>5005</v>
      </c>
      <c r="W299" s="389">
        <v>4830</v>
      </c>
      <c r="X299" s="391">
        <v>1310</v>
      </c>
      <c r="Y299" s="390">
        <v>859</v>
      </c>
      <c r="Z299" s="381">
        <v>4546</v>
      </c>
      <c r="AA299" s="388">
        <v>3</v>
      </c>
      <c r="AB299" s="388"/>
      <c r="AC299" s="389">
        <v>5349</v>
      </c>
      <c r="AD299" s="389">
        <v>54</v>
      </c>
      <c r="AE299" s="392"/>
      <c r="AF299" s="381"/>
      <c r="AG299" s="389"/>
    </row>
    <row r="300" spans="1:33" s="404" customFormat="1" ht="12.75" customHeight="1">
      <c r="A300" s="460" t="s">
        <v>251</v>
      </c>
      <c r="B300" s="461" t="s">
        <v>265</v>
      </c>
      <c r="C300" s="461"/>
      <c r="D300" s="462">
        <v>199999</v>
      </c>
      <c r="E300" s="463">
        <v>5</v>
      </c>
      <c r="F300" s="376">
        <f t="shared" si="19"/>
        <v>177169</v>
      </c>
      <c r="G300" s="377">
        <f t="shared" si="20"/>
        <v>173712</v>
      </c>
      <c r="H300" s="388">
        <v>148912</v>
      </c>
      <c r="I300" s="389">
        <v>140047</v>
      </c>
      <c r="J300" s="388">
        <v>14240</v>
      </c>
      <c r="K300" s="390">
        <v>15543</v>
      </c>
      <c r="L300" s="381">
        <v>14017</v>
      </c>
      <c r="M300" s="388">
        <v>0</v>
      </c>
      <c r="N300" s="388">
        <v>0</v>
      </c>
      <c r="O300" s="389">
        <v>18122</v>
      </c>
      <c r="P300" s="389">
        <v>0</v>
      </c>
      <c r="Q300" s="390">
        <v>0</v>
      </c>
      <c r="R300" s="381"/>
      <c r="S300" s="390"/>
      <c r="T300" s="383">
        <f t="shared" si="21"/>
        <v>10195</v>
      </c>
      <c r="U300" s="384">
        <f t="shared" si="22"/>
        <v>10784</v>
      </c>
      <c r="V300" s="388">
        <v>8564</v>
      </c>
      <c r="W300" s="389">
        <v>9159</v>
      </c>
      <c r="X300" s="391">
        <v>543</v>
      </c>
      <c r="Y300" s="390">
        <v>483</v>
      </c>
      <c r="Z300" s="381">
        <v>803</v>
      </c>
      <c r="AA300" s="388">
        <v>285</v>
      </c>
      <c r="AB300" s="388"/>
      <c r="AC300" s="389">
        <v>1058</v>
      </c>
      <c r="AD300" s="389">
        <v>84</v>
      </c>
      <c r="AE300" s="392"/>
      <c r="AF300" s="381"/>
      <c r="AG300" s="389"/>
    </row>
    <row r="301" spans="1:33" s="404" customFormat="1" ht="12.75" customHeight="1">
      <c r="A301" s="460" t="s">
        <v>251</v>
      </c>
      <c r="B301" s="461" t="s">
        <v>266</v>
      </c>
      <c r="C301" s="461"/>
      <c r="D301" s="462">
        <v>198507</v>
      </c>
      <c r="E301" s="463">
        <v>6</v>
      </c>
      <c r="F301" s="376">
        <f t="shared" si="19"/>
        <v>95987</v>
      </c>
      <c r="G301" s="377">
        <f t="shared" si="20"/>
        <v>100051</v>
      </c>
      <c r="H301" s="388">
        <v>82421</v>
      </c>
      <c r="I301" s="389">
        <v>83505</v>
      </c>
      <c r="J301" s="388">
        <v>335</v>
      </c>
      <c r="K301" s="390">
        <v>1500</v>
      </c>
      <c r="L301" s="381">
        <v>13073</v>
      </c>
      <c r="M301" s="388">
        <v>158</v>
      </c>
      <c r="N301" s="388">
        <v>0</v>
      </c>
      <c r="O301" s="389">
        <v>15046</v>
      </c>
      <c r="P301" s="389">
        <v>0</v>
      </c>
      <c r="Q301" s="390">
        <v>0</v>
      </c>
      <c r="R301" s="381"/>
      <c r="S301" s="390"/>
      <c r="T301" s="383">
        <f t="shared" si="21"/>
        <v>951</v>
      </c>
      <c r="U301" s="384">
        <f t="shared" si="22"/>
        <v>1076</v>
      </c>
      <c r="V301" s="388">
        <v>684</v>
      </c>
      <c r="W301" s="389">
        <v>629</v>
      </c>
      <c r="X301" s="391">
        <v>0</v>
      </c>
      <c r="Y301" s="390">
        <v>82</v>
      </c>
      <c r="Z301" s="381">
        <v>267</v>
      </c>
      <c r="AA301" s="388">
        <v>0</v>
      </c>
      <c r="AB301" s="388"/>
      <c r="AC301" s="389">
        <v>365</v>
      </c>
      <c r="AD301" s="389">
        <v>0</v>
      </c>
      <c r="AE301" s="392"/>
      <c r="AF301" s="381"/>
      <c r="AG301" s="389"/>
    </row>
    <row r="302" spans="1:33" s="404" customFormat="1" ht="12.75" customHeight="1">
      <c r="A302" s="460" t="s">
        <v>251</v>
      </c>
      <c r="B302" s="461" t="s">
        <v>267</v>
      </c>
      <c r="C302" s="461"/>
      <c r="D302" s="462">
        <v>199111</v>
      </c>
      <c r="E302" s="463">
        <v>6</v>
      </c>
      <c r="F302" s="376">
        <f t="shared" si="19"/>
        <v>97950</v>
      </c>
      <c r="G302" s="377">
        <f t="shared" si="20"/>
        <v>102465</v>
      </c>
      <c r="H302" s="388">
        <v>96282</v>
      </c>
      <c r="I302" s="389">
        <v>100823</v>
      </c>
      <c r="J302" s="388">
        <v>1668</v>
      </c>
      <c r="K302" s="390">
        <v>1642</v>
      </c>
      <c r="L302" s="381">
        <v>0</v>
      </c>
      <c r="M302" s="388">
        <v>0</v>
      </c>
      <c r="N302" s="388">
        <v>0</v>
      </c>
      <c r="O302" s="389">
        <v>0</v>
      </c>
      <c r="P302" s="389">
        <v>0</v>
      </c>
      <c r="Q302" s="390">
        <v>0</v>
      </c>
      <c r="R302" s="381"/>
      <c r="S302" s="390"/>
      <c r="T302" s="383">
        <f t="shared" si="21"/>
        <v>415</v>
      </c>
      <c r="U302" s="384">
        <f t="shared" si="22"/>
        <v>443</v>
      </c>
      <c r="V302" s="388">
        <v>388</v>
      </c>
      <c r="W302" s="389">
        <v>398</v>
      </c>
      <c r="X302" s="391">
        <v>27</v>
      </c>
      <c r="Y302" s="390">
        <v>45</v>
      </c>
      <c r="Z302" s="381">
        <v>0</v>
      </c>
      <c r="AA302" s="388">
        <v>0</v>
      </c>
      <c r="AB302" s="388"/>
      <c r="AC302" s="389">
        <v>0</v>
      </c>
      <c r="AD302" s="389">
        <v>0</v>
      </c>
      <c r="AE302" s="392"/>
      <c r="AF302" s="381"/>
      <c r="AG302" s="389"/>
    </row>
    <row r="303" spans="1:33" s="404" customFormat="1" ht="12.75" customHeight="1">
      <c r="A303" s="464" t="s">
        <v>251</v>
      </c>
      <c r="B303" s="465" t="s">
        <v>268</v>
      </c>
      <c r="C303" s="465"/>
      <c r="D303" s="466">
        <v>197887</v>
      </c>
      <c r="E303" s="467">
        <v>8</v>
      </c>
      <c r="F303" s="376">
        <f t="shared" si="19"/>
        <v>144633</v>
      </c>
      <c r="G303" s="377">
        <f t="shared" si="20"/>
        <v>159416</v>
      </c>
      <c r="H303" s="411">
        <v>115653</v>
      </c>
      <c r="I303" s="412">
        <v>124856</v>
      </c>
      <c r="J303" s="411">
        <v>9825</v>
      </c>
      <c r="K303" s="413">
        <v>10150</v>
      </c>
      <c r="L303" s="414">
        <v>19155</v>
      </c>
      <c r="M303" s="411">
        <v>0</v>
      </c>
      <c r="N303" s="411">
        <v>0</v>
      </c>
      <c r="O303" s="412">
        <v>24410</v>
      </c>
      <c r="P303" s="412">
        <v>0</v>
      </c>
      <c r="Q303" s="413">
        <v>0</v>
      </c>
      <c r="R303" s="381"/>
      <c r="S303" s="390"/>
      <c r="T303" s="383">
        <f t="shared" si="21"/>
        <v>0</v>
      </c>
      <c r="U303" s="384">
        <f t="shared" si="22"/>
        <v>0</v>
      </c>
      <c r="V303" s="388"/>
      <c r="W303" s="389"/>
      <c r="X303" s="391"/>
      <c r="Y303" s="390"/>
      <c r="Z303" s="381"/>
      <c r="AA303" s="388"/>
      <c r="AB303" s="388"/>
      <c r="AC303" s="389"/>
      <c r="AD303" s="389"/>
      <c r="AE303" s="392"/>
      <c r="AF303" s="381"/>
      <c r="AG303" s="389"/>
    </row>
    <row r="304" spans="1:33" s="404" customFormat="1" ht="12.75" customHeight="1">
      <c r="A304" s="464" t="s">
        <v>251</v>
      </c>
      <c r="B304" s="465" t="s">
        <v>269</v>
      </c>
      <c r="C304" s="465"/>
      <c r="D304" s="466">
        <v>198154</v>
      </c>
      <c r="E304" s="467">
        <v>8</v>
      </c>
      <c r="F304" s="376">
        <f t="shared" si="19"/>
        <v>186949</v>
      </c>
      <c r="G304" s="377">
        <f t="shared" si="20"/>
        <v>212549</v>
      </c>
      <c r="H304" s="411">
        <v>156260</v>
      </c>
      <c r="I304" s="412">
        <v>175771</v>
      </c>
      <c r="J304" s="411">
        <v>5059</v>
      </c>
      <c r="K304" s="413">
        <v>3277</v>
      </c>
      <c r="L304" s="414">
        <v>25630</v>
      </c>
      <c r="M304" s="411">
        <v>0</v>
      </c>
      <c r="N304" s="411">
        <v>0</v>
      </c>
      <c r="O304" s="412">
        <v>33501</v>
      </c>
      <c r="P304" s="412">
        <v>0</v>
      </c>
      <c r="Q304" s="413">
        <v>0</v>
      </c>
      <c r="R304" s="381"/>
      <c r="S304" s="390"/>
      <c r="T304" s="383">
        <f t="shared" si="21"/>
        <v>0</v>
      </c>
      <c r="U304" s="384">
        <f t="shared" si="22"/>
        <v>0</v>
      </c>
      <c r="V304" s="388"/>
      <c r="W304" s="389"/>
      <c r="X304" s="391"/>
      <c r="Y304" s="390"/>
      <c r="Z304" s="381"/>
      <c r="AA304" s="388"/>
      <c r="AB304" s="388"/>
      <c r="AC304" s="389"/>
      <c r="AD304" s="389"/>
      <c r="AE304" s="392"/>
      <c r="AF304" s="381"/>
      <c r="AG304" s="389"/>
    </row>
    <row r="305" spans="1:33" s="404" customFormat="1" ht="12.75" customHeight="1">
      <c r="A305" s="464" t="s">
        <v>251</v>
      </c>
      <c r="B305" s="556" t="s">
        <v>270</v>
      </c>
      <c r="C305" s="557" t="s">
        <v>906</v>
      </c>
      <c r="D305" s="466">
        <v>198233</v>
      </c>
      <c r="E305" s="558">
        <v>9</v>
      </c>
      <c r="F305" s="376">
        <f t="shared" si="19"/>
        <v>113143</v>
      </c>
      <c r="G305" s="377">
        <f t="shared" si="20"/>
        <v>125873</v>
      </c>
      <c r="H305" s="411">
        <v>83678</v>
      </c>
      <c r="I305" s="412">
        <v>92143</v>
      </c>
      <c r="J305" s="411">
        <v>3389</v>
      </c>
      <c r="K305" s="413">
        <v>4186</v>
      </c>
      <c r="L305" s="414">
        <v>23040</v>
      </c>
      <c r="M305" s="411">
        <v>1167</v>
      </c>
      <c r="N305" s="411">
        <v>1869</v>
      </c>
      <c r="O305" s="412">
        <v>28694</v>
      </c>
      <c r="P305" s="412">
        <v>123</v>
      </c>
      <c r="Q305" s="413">
        <v>727</v>
      </c>
      <c r="R305" s="381"/>
      <c r="S305" s="390"/>
      <c r="T305" s="383">
        <f t="shared" si="21"/>
        <v>0</v>
      </c>
      <c r="U305" s="384">
        <f t="shared" si="22"/>
        <v>0</v>
      </c>
      <c r="V305" s="388"/>
      <c r="W305" s="389"/>
      <c r="X305" s="391"/>
      <c r="Y305" s="390"/>
      <c r="Z305" s="381"/>
      <c r="AA305" s="388"/>
      <c r="AB305" s="388"/>
      <c r="AC305" s="389"/>
      <c r="AD305" s="389"/>
      <c r="AE305" s="392"/>
      <c r="AF305" s="381"/>
      <c r="AG305" s="389"/>
    </row>
    <row r="306" spans="1:33" s="404" customFormat="1" ht="12.75" customHeight="1">
      <c r="A306" s="464" t="s">
        <v>251</v>
      </c>
      <c r="B306" s="556" t="s">
        <v>271</v>
      </c>
      <c r="C306" s="557" t="s">
        <v>906</v>
      </c>
      <c r="D306" s="466">
        <v>198251</v>
      </c>
      <c r="E306" s="558">
        <v>9</v>
      </c>
      <c r="F306" s="376">
        <f t="shared" si="19"/>
        <v>96596</v>
      </c>
      <c r="G306" s="377">
        <f t="shared" si="20"/>
        <v>104167</v>
      </c>
      <c r="H306" s="411">
        <v>57973</v>
      </c>
      <c r="I306" s="412">
        <v>65438</v>
      </c>
      <c r="J306" s="411">
        <v>11983</v>
      </c>
      <c r="K306" s="413">
        <v>10252</v>
      </c>
      <c r="L306" s="414">
        <v>26640</v>
      </c>
      <c r="M306" s="411">
        <v>0</v>
      </c>
      <c r="N306" s="411">
        <v>0</v>
      </c>
      <c r="O306" s="412">
        <v>27852</v>
      </c>
      <c r="P306" s="412">
        <v>0</v>
      </c>
      <c r="Q306" s="413">
        <v>625</v>
      </c>
      <c r="R306" s="381"/>
      <c r="S306" s="390"/>
      <c r="T306" s="383">
        <f t="shared" si="21"/>
        <v>0</v>
      </c>
      <c r="U306" s="384">
        <f t="shared" si="22"/>
        <v>0</v>
      </c>
      <c r="V306" s="388"/>
      <c r="W306" s="389"/>
      <c r="X306" s="391"/>
      <c r="Y306" s="390"/>
      <c r="Z306" s="381"/>
      <c r="AA306" s="388"/>
      <c r="AB306" s="388"/>
      <c r="AC306" s="389"/>
      <c r="AD306" s="389"/>
      <c r="AE306" s="392"/>
      <c r="AF306" s="381"/>
      <c r="AG306" s="389"/>
    </row>
    <row r="307" spans="1:33" s="404" customFormat="1" ht="12.75" customHeight="1">
      <c r="A307" s="464" t="s">
        <v>251</v>
      </c>
      <c r="B307" s="465" t="s">
        <v>272</v>
      </c>
      <c r="C307" s="465"/>
      <c r="D307" s="466">
        <v>198260</v>
      </c>
      <c r="E307" s="467">
        <v>8</v>
      </c>
      <c r="F307" s="376">
        <f t="shared" si="19"/>
        <v>386740</v>
      </c>
      <c r="G307" s="377">
        <f t="shared" si="20"/>
        <v>409543</v>
      </c>
      <c r="H307" s="411">
        <v>288525</v>
      </c>
      <c r="I307" s="412">
        <v>302706</v>
      </c>
      <c r="J307" s="411">
        <v>16442</v>
      </c>
      <c r="K307" s="413">
        <v>15033</v>
      </c>
      <c r="L307" s="414">
        <v>77374</v>
      </c>
      <c r="M307" s="411">
        <v>0</v>
      </c>
      <c r="N307" s="411">
        <v>4399</v>
      </c>
      <c r="O307" s="412">
        <v>87274</v>
      </c>
      <c r="P307" s="412">
        <v>0</v>
      </c>
      <c r="Q307" s="413">
        <v>4530</v>
      </c>
      <c r="R307" s="381"/>
      <c r="S307" s="390"/>
      <c r="T307" s="383">
        <f t="shared" si="21"/>
        <v>0</v>
      </c>
      <c r="U307" s="384">
        <f t="shared" si="22"/>
        <v>0</v>
      </c>
      <c r="V307" s="388"/>
      <c r="W307" s="389"/>
      <c r="X307" s="391"/>
      <c r="Y307" s="390"/>
      <c r="Z307" s="381"/>
      <c r="AA307" s="388"/>
      <c r="AB307" s="388"/>
      <c r="AC307" s="389"/>
      <c r="AD307" s="389"/>
      <c r="AE307" s="392"/>
      <c r="AF307" s="381"/>
      <c r="AG307" s="389"/>
    </row>
    <row r="308" spans="1:33" s="404" customFormat="1" ht="12.75" customHeight="1">
      <c r="A308" s="468" t="s">
        <v>251</v>
      </c>
      <c r="B308" s="556" t="s">
        <v>273</v>
      </c>
      <c r="C308" s="557" t="s">
        <v>906</v>
      </c>
      <c r="D308" s="469">
        <v>198455</v>
      </c>
      <c r="E308" s="558">
        <v>9</v>
      </c>
      <c r="F308" s="376">
        <f t="shared" si="19"/>
        <v>100615</v>
      </c>
      <c r="G308" s="377">
        <f t="shared" si="20"/>
        <v>105294</v>
      </c>
      <c r="H308" s="411">
        <v>84577</v>
      </c>
      <c r="I308" s="412">
        <v>88388</v>
      </c>
      <c r="J308" s="411">
        <v>3104</v>
      </c>
      <c r="K308" s="413">
        <v>3297</v>
      </c>
      <c r="L308" s="414">
        <v>12934</v>
      </c>
      <c r="M308" s="411">
        <v>0</v>
      </c>
      <c r="N308" s="411">
        <v>0</v>
      </c>
      <c r="O308" s="412">
        <v>13609</v>
      </c>
      <c r="P308" s="412">
        <v>0</v>
      </c>
      <c r="Q308" s="413">
        <v>0</v>
      </c>
      <c r="R308" s="381"/>
      <c r="S308" s="390"/>
      <c r="T308" s="383">
        <f t="shared" si="21"/>
        <v>0</v>
      </c>
      <c r="U308" s="384">
        <f t="shared" si="22"/>
        <v>0</v>
      </c>
      <c r="V308" s="388"/>
      <c r="W308" s="389"/>
      <c r="X308" s="391"/>
      <c r="Y308" s="390"/>
      <c r="Z308" s="381"/>
      <c r="AA308" s="388"/>
      <c r="AB308" s="388"/>
      <c r="AC308" s="389"/>
      <c r="AD308" s="389"/>
      <c r="AE308" s="392"/>
      <c r="AF308" s="381"/>
      <c r="AG308" s="389"/>
    </row>
    <row r="309" spans="1:33" s="404" customFormat="1" ht="12.75" customHeight="1">
      <c r="A309" s="464" t="s">
        <v>251</v>
      </c>
      <c r="B309" s="465" t="s">
        <v>274</v>
      </c>
      <c r="C309" s="465"/>
      <c r="D309" s="466">
        <v>198534</v>
      </c>
      <c r="E309" s="467">
        <v>8</v>
      </c>
      <c r="F309" s="376">
        <f t="shared" si="19"/>
        <v>227849</v>
      </c>
      <c r="G309" s="377">
        <f t="shared" si="20"/>
        <v>242342</v>
      </c>
      <c r="H309" s="411">
        <v>143218</v>
      </c>
      <c r="I309" s="412">
        <v>151556</v>
      </c>
      <c r="J309" s="411">
        <v>5519</v>
      </c>
      <c r="K309" s="413">
        <v>5748</v>
      </c>
      <c r="L309" s="414">
        <v>77846</v>
      </c>
      <c r="M309" s="411">
        <v>1266</v>
      </c>
      <c r="N309" s="411">
        <v>0</v>
      </c>
      <c r="O309" s="412">
        <v>83874</v>
      </c>
      <c r="P309" s="412">
        <v>1164</v>
      </c>
      <c r="Q309" s="413">
        <v>0</v>
      </c>
      <c r="R309" s="381"/>
      <c r="S309" s="390"/>
      <c r="T309" s="383">
        <f t="shared" si="21"/>
        <v>0</v>
      </c>
      <c r="U309" s="384">
        <f t="shared" si="22"/>
        <v>0</v>
      </c>
      <c r="V309" s="388"/>
      <c r="W309" s="389"/>
      <c r="X309" s="391"/>
      <c r="Y309" s="390"/>
      <c r="Z309" s="381"/>
      <c r="AA309" s="388"/>
      <c r="AB309" s="388"/>
      <c r="AC309" s="389"/>
      <c r="AD309" s="389"/>
      <c r="AE309" s="392"/>
      <c r="AF309" s="381"/>
      <c r="AG309" s="389"/>
    </row>
    <row r="310" spans="1:33" s="404" customFormat="1" ht="12.75" customHeight="1">
      <c r="A310" s="464" t="s">
        <v>251</v>
      </c>
      <c r="B310" s="465" t="s">
        <v>275</v>
      </c>
      <c r="C310" s="465"/>
      <c r="D310" s="466">
        <v>198552</v>
      </c>
      <c r="E310" s="467">
        <v>8</v>
      </c>
      <c r="F310" s="376">
        <f t="shared" si="19"/>
        <v>181929</v>
      </c>
      <c r="G310" s="377">
        <f t="shared" si="20"/>
        <v>215071</v>
      </c>
      <c r="H310" s="411">
        <v>128243</v>
      </c>
      <c r="I310" s="412">
        <v>150541</v>
      </c>
      <c r="J310" s="411">
        <v>10595</v>
      </c>
      <c r="K310" s="413">
        <v>12413</v>
      </c>
      <c r="L310" s="414">
        <v>42139</v>
      </c>
      <c r="M310" s="411">
        <v>952</v>
      </c>
      <c r="N310" s="411">
        <v>0</v>
      </c>
      <c r="O310" s="412">
        <v>50600</v>
      </c>
      <c r="P310" s="412">
        <v>1517</v>
      </c>
      <c r="Q310" s="413">
        <v>0</v>
      </c>
      <c r="R310" s="381"/>
      <c r="S310" s="390"/>
      <c r="T310" s="383">
        <f t="shared" si="21"/>
        <v>0</v>
      </c>
      <c r="U310" s="384">
        <f t="shared" si="22"/>
        <v>0</v>
      </c>
      <c r="V310" s="388"/>
      <c r="W310" s="389"/>
      <c r="X310" s="391"/>
      <c r="Y310" s="390"/>
      <c r="Z310" s="381"/>
      <c r="AA310" s="388"/>
      <c r="AB310" s="388"/>
      <c r="AC310" s="389"/>
      <c r="AD310" s="389"/>
      <c r="AE310" s="392"/>
      <c r="AF310" s="381"/>
      <c r="AG310" s="389"/>
    </row>
    <row r="311" spans="1:33" s="404" customFormat="1" ht="12.75" customHeight="1">
      <c r="A311" s="464" t="s">
        <v>251</v>
      </c>
      <c r="B311" s="465" t="s">
        <v>276</v>
      </c>
      <c r="C311" s="465"/>
      <c r="D311" s="466">
        <v>198622</v>
      </c>
      <c r="E311" s="467">
        <v>8</v>
      </c>
      <c r="F311" s="376">
        <f t="shared" si="19"/>
        <v>275849</v>
      </c>
      <c r="G311" s="377">
        <f t="shared" si="20"/>
        <v>333447</v>
      </c>
      <c r="H311" s="411">
        <v>237955</v>
      </c>
      <c r="I311" s="412">
        <v>282592</v>
      </c>
      <c r="J311" s="411">
        <v>2769</v>
      </c>
      <c r="K311" s="413">
        <v>2805</v>
      </c>
      <c r="L311" s="414">
        <v>34684</v>
      </c>
      <c r="M311" s="411">
        <v>0</v>
      </c>
      <c r="N311" s="411">
        <v>441</v>
      </c>
      <c r="O311" s="412">
        <v>48050</v>
      </c>
      <c r="P311" s="412">
        <v>0</v>
      </c>
      <c r="Q311" s="413">
        <v>0</v>
      </c>
      <c r="R311" s="381"/>
      <c r="S311" s="390"/>
      <c r="T311" s="383">
        <f t="shared" si="21"/>
        <v>0</v>
      </c>
      <c r="U311" s="384">
        <f t="shared" si="22"/>
        <v>0</v>
      </c>
      <c r="V311" s="388"/>
      <c r="W311" s="389"/>
      <c r="X311" s="391"/>
      <c r="Y311" s="390"/>
      <c r="Z311" s="381"/>
      <c r="AA311" s="388"/>
      <c r="AB311" s="388"/>
      <c r="AC311" s="389"/>
      <c r="AD311" s="389"/>
      <c r="AE311" s="392"/>
      <c r="AF311" s="381"/>
      <c r="AG311" s="389"/>
    </row>
    <row r="312" spans="1:33" s="404" customFormat="1" ht="12.75" customHeight="1">
      <c r="A312" s="464" t="s">
        <v>251</v>
      </c>
      <c r="B312" s="465" t="s">
        <v>277</v>
      </c>
      <c r="C312" s="465"/>
      <c r="D312" s="466">
        <v>199333</v>
      </c>
      <c r="E312" s="467">
        <v>8</v>
      </c>
      <c r="F312" s="376">
        <f t="shared" si="19"/>
        <v>163185</v>
      </c>
      <c r="G312" s="377">
        <f t="shared" si="20"/>
        <v>188059</v>
      </c>
      <c r="H312" s="411">
        <v>122898</v>
      </c>
      <c r="I312" s="412">
        <v>136184</v>
      </c>
      <c r="J312" s="411">
        <v>9635</v>
      </c>
      <c r="K312" s="413">
        <v>8983</v>
      </c>
      <c r="L312" s="414">
        <v>30652</v>
      </c>
      <c r="M312" s="411">
        <v>0</v>
      </c>
      <c r="N312" s="411">
        <v>0</v>
      </c>
      <c r="O312" s="412">
        <v>42892</v>
      </c>
      <c r="P312" s="412">
        <v>0</v>
      </c>
      <c r="Q312" s="413">
        <v>0</v>
      </c>
      <c r="R312" s="381"/>
      <c r="S312" s="390"/>
      <c r="T312" s="383">
        <f t="shared" si="21"/>
        <v>0</v>
      </c>
      <c r="U312" s="384">
        <f t="shared" si="22"/>
        <v>0</v>
      </c>
      <c r="V312" s="388"/>
      <c r="W312" s="389"/>
      <c r="X312" s="391"/>
      <c r="Y312" s="390"/>
      <c r="Z312" s="381"/>
      <c r="AA312" s="388"/>
      <c r="AB312" s="388"/>
      <c r="AC312" s="389"/>
      <c r="AD312" s="389"/>
      <c r="AE312" s="392"/>
      <c r="AF312" s="381"/>
      <c r="AG312" s="389"/>
    </row>
    <row r="313" spans="1:33" s="404" customFormat="1" ht="12.75" customHeight="1">
      <c r="A313" s="468" t="s">
        <v>251</v>
      </c>
      <c r="B313" s="471" t="s">
        <v>278</v>
      </c>
      <c r="C313" s="471"/>
      <c r="D313" s="469">
        <v>199494</v>
      </c>
      <c r="E313" s="470">
        <v>8</v>
      </c>
      <c r="F313" s="376">
        <f t="shared" si="19"/>
        <v>146377</v>
      </c>
      <c r="G313" s="377">
        <f t="shared" si="20"/>
        <v>166263</v>
      </c>
      <c r="H313" s="411">
        <v>119647</v>
      </c>
      <c r="I313" s="412">
        <v>132266</v>
      </c>
      <c r="J313" s="411">
        <v>800</v>
      </c>
      <c r="K313" s="413">
        <v>3687</v>
      </c>
      <c r="L313" s="414">
        <v>22402</v>
      </c>
      <c r="M313" s="411">
        <v>1254</v>
      </c>
      <c r="N313" s="411">
        <v>2274</v>
      </c>
      <c r="O313" s="412">
        <v>27427</v>
      </c>
      <c r="P313" s="412">
        <v>756</v>
      </c>
      <c r="Q313" s="413">
        <v>2127</v>
      </c>
      <c r="R313" s="381"/>
      <c r="S313" s="390"/>
      <c r="T313" s="383">
        <f t="shared" si="21"/>
        <v>0</v>
      </c>
      <c r="U313" s="384">
        <f t="shared" si="22"/>
        <v>0</v>
      </c>
      <c r="V313" s="388"/>
      <c r="W313" s="389"/>
      <c r="X313" s="391"/>
      <c r="Y313" s="390"/>
      <c r="Z313" s="381"/>
      <c r="AA313" s="388"/>
      <c r="AB313" s="388"/>
      <c r="AC313" s="389"/>
      <c r="AD313" s="389"/>
      <c r="AE313" s="392"/>
      <c r="AF313" s="381"/>
      <c r="AG313" s="389"/>
    </row>
    <row r="314" spans="1:33" s="404" customFormat="1" ht="12.75" customHeight="1">
      <c r="A314" s="464" t="s">
        <v>251</v>
      </c>
      <c r="B314" s="465" t="s">
        <v>279</v>
      </c>
      <c r="C314" s="465"/>
      <c r="D314" s="466">
        <v>199856</v>
      </c>
      <c r="E314" s="467">
        <v>8</v>
      </c>
      <c r="F314" s="376">
        <f t="shared" si="19"/>
        <v>305765</v>
      </c>
      <c r="G314" s="377">
        <f t="shared" si="20"/>
        <v>348159</v>
      </c>
      <c r="H314" s="411">
        <v>238349</v>
      </c>
      <c r="I314" s="412">
        <v>269320</v>
      </c>
      <c r="J314" s="411">
        <v>7733</v>
      </c>
      <c r="K314" s="413">
        <v>6433</v>
      </c>
      <c r="L314" s="414">
        <v>59683</v>
      </c>
      <c r="M314" s="411">
        <v>0</v>
      </c>
      <c r="N314" s="411">
        <v>0</v>
      </c>
      <c r="O314" s="412">
        <v>72406</v>
      </c>
      <c r="P314" s="412">
        <v>0</v>
      </c>
      <c r="Q314" s="413">
        <v>0</v>
      </c>
      <c r="R314" s="381"/>
      <c r="S314" s="390"/>
      <c r="T314" s="383">
        <f t="shared" si="21"/>
        <v>0</v>
      </c>
      <c r="U314" s="384">
        <f t="shared" si="22"/>
        <v>0</v>
      </c>
      <c r="V314" s="388"/>
      <c r="W314" s="389"/>
      <c r="X314" s="391"/>
      <c r="Y314" s="390"/>
      <c r="Z314" s="381"/>
      <c r="AA314" s="388"/>
      <c r="AB314" s="388"/>
      <c r="AC314" s="389"/>
      <c r="AD314" s="389"/>
      <c r="AE314" s="392"/>
      <c r="AF314" s="381"/>
      <c r="AG314" s="389"/>
    </row>
    <row r="315" spans="1:33" s="404" customFormat="1" ht="12.75" customHeight="1">
      <c r="A315" s="464" t="s">
        <v>251</v>
      </c>
      <c r="B315" s="465" t="s">
        <v>280</v>
      </c>
      <c r="C315" s="465"/>
      <c r="D315" s="466">
        <v>199786</v>
      </c>
      <c r="E315" s="467">
        <v>9</v>
      </c>
      <c r="F315" s="376">
        <f t="shared" si="19"/>
        <v>106602</v>
      </c>
      <c r="G315" s="377">
        <f t="shared" si="20"/>
        <v>117494</v>
      </c>
      <c r="H315" s="411">
        <v>90072</v>
      </c>
      <c r="I315" s="412">
        <v>99284</v>
      </c>
      <c r="J315" s="411">
        <v>5814</v>
      </c>
      <c r="K315" s="413">
        <v>5672</v>
      </c>
      <c r="L315" s="414">
        <v>10716</v>
      </c>
      <c r="M315" s="411">
        <v>0</v>
      </c>
      <c r="N315" s="411">
        <v>0</v>
      </c>
      <c r="O315" s="412">
        <v>12538</v>
      </c>
      <c r="P315" s="412">
        <v>0</v>
      </c>
      <c r="Q315" s="413">
        <v>0</v>
      </c>
      <c r="R315" s="381"/>
      <c r="S315" s="390"/>
      <c r="T315" s="383">
        <f t="shared" si="21"/>
        <v>0</v>
      </c>
      <c r="U315" s="384">
        <f t="shared" si="22"/>
        <v>0</v>
      </c>
      <c r="V315" s="388"/>
      <c r="W315" s="389"/>
      <c r="X315" s="391"/>
      <c r="Y315" s="390"/>
      <c r="Z315" s="381"/>
      <c r="AA315" s="388"/>
      <c r="AB315" s="388"/>
      <c r="AC315" s="389"/>
      <c r="AD315" s="389"/>
      <c r="AE315" s="392"/>
      <c r="AF315" s="381"/>
      <c r="AG315" s="389"/>
    </row>
    <row r="316" spans="1:33" s="404" customFormat="1" ht="12.75" customHeight="1">
      <c r="A316" s="464" t="s">
        <v>251</v>
      </c>
      <c r="B316" s="556" t="s">
        <v>281</v>
      </c>
      <c r="C316" s="557" t="s">
        <v>907</v>
      </c>
      <c r="D316" s="466">
        <v>198039</v>
      </c>
      <c r="E316" s="558">
        <v>10</v>
      </c>
      <c r="F316" s="376">
        <f t="shared" si="19"/>
        <v>45794</v>
      </c>
      <c r="G316" s="377">
        <f t="shared" si="20"/>
        <v>50471</v>
      </c>
      <c r="H316" s="411">
        <v>36987</v>
      </c>
      <c r="I316" s="412">
        <v>39555</v>
      </c>
      <c r="J316" s="411">
        <v>1155</v>
      </c>
      <c r="K316" s="413">
        <v>1239</v>
      </c>
      <c r="L316" s="414">
        <v>6665</v>
      </c>
      <c r="M316" s="411">
        <v>539</v>
      </c>
      <c r="N316" s="411">
        <v>448</v>
      </c>
      <c r="O316" s="412">
        <v>7826</v>
      </c>
      <c r="P316" s="412">
        <v>173</v>
      </c>
      <c r="Q316" s="413">
        <v>1678</v>
      </c>
      <c r="R316" s="381"/>
      <c r="S316" s="390"/>
      <c r="T316" s="383">
        <f t="shared" si="21"/>
        <v>0</v>
      </c>
      <c r="U316" s="384">
        <f t="shared" si="22"/>
        <v>0</v>
      </c>
      <c r="V316" s="388"/>
      <c r="W316" s="389"/>
      <c r="X316" s="391"/>
      <c r="Y316" s="390"/>
      <c r="Z316" s="381"/>
      <c r="AA316" s="388"/>
      <c r="AB316" s="388"/>
      <c r="AC316" s="389"/>
      <c r="AD316" s="389"/>
      <c r="AE316" s="392"/>
      <c r="AF316" s="381"/>
      <c r="AG316" s="389"/>
    </row>
    <row r="317" spans="1:33" s="404" customFormat="1" ht="12.75" customHeight="1">
      <c r="A317" s="464" t="s">
        <v>251</v>
      </c>
      <c r="B317" s="465" t="s">
        <v>282</v>
      </c>
      <c r="C317" s="465"/>
      <c r="D317" s="466">
        <v>198118</v>
      </c>
      <c r="E317" s="467">
        <v>9</v>
      </c>
      <c r="F317" s="376">
        <f t="shared" si="19"/>
        <v>96765</v>
      </c>
      <c r="G317" s="377">
        <f t="shared" si="20"/>
        <v>107584</v>
      </c>
      <c r="H317" s="411">
        <v>74841</v>
      </c>
      <c r="I317" s="412">
        <v>79669</v>
      </c>
      <c r="J317" s="411">
        <v>7457</v>
      </c>
      <c r="K317" s="413">
        <v>7532</v>
      </c>
      <c r="L317" s="414">
        <v>11618</v>
      </c>
      <c r="M317" s="411">
        <v>1924</v>
      </c>
      <c r="N317" s="411">
        <v>925</v>
      </c>
      <c r="O317" s="412">
        <v>16853</v>
      </c>
      <c r="P317" s="412">
        <v>3205</v>
      </c>
      <c r="Q317" s="413">
        <v>325</v>
      </c>
      <c r="R317" s="381"/>
      <c r="S317" s="390"/>
      <c r="T317" s="383">
        <f t="shared" si="21"/>
        <v>0</v>
      </c>
      <c r="U317" s="384">
        <f t="shared" si="22"/>
        <v>0</v>
      </c>
      <c r="V317" s="388"/>
      <c r="W317" s="389"/>
      <c r="X317" s="391"/>
      <c r="Y317" s="390"/>
      <c r="Z317" s="381"/>
      <c r="AA317" s="388"/>
      <c r="AB317" s="388"/>
      <c r="AC317" s="389"/>
      <c r="AD317" s="389"/>
      <c r="AE317" s="392"/>
      <c r="AF317" s="381"/>
      <c r="AG317" s="389"/>
    </row>
    <row r="318" spans="1:33" s="404" customFormat="1" ht="12.75" customHeight="1">
      <c r="A318" s="464" t="s">
        <v>251</v>
      </c>
      <c r="B318" s="465" t="s">
        <v>283</v>
      </c>
      <c r="C318" s="465"/>
      <c r="D318" s="466">
        <v>198321</v>
      </c>
      <c r="E318" s="467">
        <v>9</v>
      </c>
      <c r="F318" s="376">
        <f t="shared" si="19"/>
        <v>82295</v>
      </c>
      <c r="G318" s="377">
        <f t="shared" si="20"/>
        <v>93159</v>
      </c>
      <c r="H318" s="411">
        <v>52814</v>
      </c>
      <c r="I318" s="412">
        <v>60360</v>
      </c>
      <c r="J318" s="411">
        <v>11250</v>
      </c>
      <c r="K318" s="413">
        <v>11099</v>
      </c>
      <c r="L318" s="414">
        <v>17944</v>
      </c>
      <c r="M318" s="411">
        <v>210</v>
      </c>
      <c r="N318" s="411">
        <v>77</v>
      </c>
      <c r="O318" s="412">
        <v>21445</v>
      </c>
      <c r="P318" s="412">
        <v>225</v>
      </c>
      <c r="Q318" s="413">
        <v>30</v>
      </c>
      <c r="R318" s="381"/>
      <c r="S318" s="390"/>
      <c r="T318" s="383">
        <f t="shared" si="21"/>
        <v>0</v>
      </c>
      <c r="U318" s="384">
        <f t="shared" si="22"/>
        <v>0</v>
      </c>
      <c r="V318" s="388"/>
      <c r="W318" s="389"/>
      <c r="X318" s="391"/>
      <c r="Y318" s="390"/>
      <c r="Z318" s="381"/>
      <c r="AA318" s="388"/>
      <c r="AB318" s="388"/>
      <c r="AC318" s="389"/>
      <c r="AD318" s="389"/>
      <c r="AE318" s="392"/>
      <c r="AF318" s="381"/>
      <c r="AG318" s="389"/>
    </row>
    <row r="319" spans="1:33" s="404" customFormat="1" ht="12.75" customHeight="1">
      <c r="A319" s="464" t="s">
        <v>251</v>
      </c>
      <c r="B319" s="472" t="s">
        <v>284</v>
      </c>
      <c r="C319" s="472"/>
      <c r="D319" s="466">
        <v>198330</v>
      </c>
      <c r="E319" s="467">
        <v>9</v>
      </c>
      <c r="F319" s="376">
        <f t="shared" si="19"/>
        <v>104079</v>
      </c>
      <c r="G319" s="377">
        <f t="shared" si="20"/>
        <v>115927</v>
      </c>
      <c r="H319" s="411">
        <v>73372</v>
      </c>
      <c r="I319" s="412">
        <v>80478</v>
      </c>
      <c r="J319" s="411">
        <v>9515</v>
      </c>
      <c r="K319" s="413">
        <v>10109</v>
      </c>
      <c r="L319" s="414">
        <v>21192</v>
      </c>
      <c r="M319" s="411">
        <v>0</v>
      </c>
      <c r="N319" s="411">
        <v>0</v>
      </c>
      <c r="O319" s="412">
        <v>25340</v>
      </c>
      <c r="P319" s="412">
        <v>0</v>
      </c>
      <c r="Q319" s="413">
        <v>0</v>
      </c>
      <c r="R319" s="381"/>
      <c r="S319" s="390"/>
      <c r="T319" s="383">
        <f t="shared" si="21"/>
        <v>0</v>
      </c>
      <c r="U319" s="384">
        <f t="shared" si="22"/>
        <v>0</v>
      </c>
      <c r="V319" s="388"/>
      <c r="W319" s="389"/>
      <c r="X319" s="391"/>
      <c r="Y319" s="390"/>
      <c r="Z319" s="381"/>
      <c r="AA319" s="388"/>
      <c r="AB319" s="388"/>
      <c r="AC319" s="389"/>
      <c r="AD319" s="389"/>
      <c r="AE319" s="392"/>
      <c r="AF319" s="381"/>
      <c r="AG319" s="389"/>
    </row>
    <row r="320" spans="1:33" s="404" customFormat="1" ht="12.75" customHeight="1">
      <c r="A320" s="464" t="s">
        <v>251</v>
      </c>
      <c r="B320" s="556" t="s">
        <v>285</v>
      </c>
      <c r="C320" s="557" t="s">
        <v>907</v>
      </c>
      <c r="D320" s="466">
        <v>197814</v>
      </c>
      <c r="E320" s="558">
        <v>10</v>
      </c>
      <c r="F320" s="376">
        <f t="shared" si="19"/>
        <v>51745</v>
      </c>
      <c r="G320" s="377">
        <f t="shared" si="20"/>
        <v>53862</v>
      </c>
      <c r="H320" s="411">
        <v>31302</v>
      </c>
      <c r="I320" s="412">
        <v>32302</v>
      </c>
      <c r="J320" s="411">
        <v>5346</v>
      </c>
      <c r="K320" s="413">
        <v>3647</v>
      </c>
      <c r="L320" s="414">
        <v>14539</v>
      </c>
      <c r="M320" s="411">
        <v>558</v>
      </c>
      <c r="N320" s="411">
        <v>0</v>
      </c>
      <c r="O320" s="412">
        <v>17862</v>
      </c>
      <c r="P320" s="412">
        <v>51</v>
      </c>
      <c r="Q320" s="413">
        <v>0</v>
      </c>
      <c r="R320" s="381"/>
      <c r="S320" s="390"/>
      <c r="T320" s="383">
        <f t="shared" si="21"/>
        <v>0</v>
      </c>
      <c r="U320" s="384">
        <f t="shared" si="22"/>
        <v>0</v>
      </c>
      <c r="V320" s="388"/>
      <c r="W320" s="389"/>
      <c r="X320" s="391"/>
      <c r="Y320" s="390"/>
      <c r="Z320" s="381"/>
      <c r="AA320" s="388"/>
      <c r="AB320" s="388"/>
      <c r="AC320" s="389"/>
      <c r="AD320" s="389"/>
      <c r="AE320" s="392"/>
      <c r="AF320" s="381"/>
      <c r="AG320" s="389"/>
    </row>
    <row r="321" spans="1:33" s="404" customFormat="1" ht="12.75" customHeight="1">
      <c r="A321" s="464" t="s">
        <v>251</v>
      </c>
      <c r="B321" s="465" t="s">
        <v>286</v>
      </c>
      <c r="C321" s="465"/>
      <c r="D321" s="466">
        <v>198367</v>
      </c>
      <c r="E321" s="467">
        <v>9</v>
      </c>
      <c r="F321" s="376">
        <f t="shared" si="19"/>
        <v>68418</v>
      </c>
      <c r="G321" s="377">
        <f t="shared" si="20"/>
        <v>78830</v>
      </c>
      <c r="H321" s="411">
        <v>44380</v>
      </c>
      <c r="I321" s="412">
        <v>51547</v>
      </c>
      <c r="J321" s="411">
        <v>749</v>
      </c>
      <c r="K321" s="413">
        <v>704</v>
      </c>
      <c r="L321" s="414">
        <v>22361</v>
      </c>
      <c r="M321" s="411">
        <v>0</v>
      </c>
      <c r="N321" s="411">
        <v>928</v>
      </c>
      <c r="O321" s="412">
        <v>25751</v>
      </c>
      <c r="P321" s="412">
        <v>0</v>
      </c>
      <c r="Q321" s="413">
        <v>828</v>
      </c>
      <c r="R321" s="381"/>
      <c r="S321" s="390"/>
      <c r="T321" s="383">
        <f t="shared" si="21"/>
        <v>0</v>
      </c>
      <c r="U321" s="384">
        <f t="shared" si="22"/>
        <v>0</v>
      </c>
      <c r="V321" s="388"/>
      <c r="W321" s="389"/>
      <c r="X321" s="391"/>
      <c r="Y321" s="390"/>
      <c r="Z321" s="381"/>
      <c r="AA321" s="388"/>
      <c r="AB321" s="388"/>
      <c r="AC321" s="389"/>
      <c r="AD321" s="389"/>
      <c r="AE321" s="392"/>
      <c r="AF321" s="381"/>
      <c r="AG321" s="389"/>
    </row>
    <row r="322" spans="1:33" s="404" customFormat="1" ht="12.75" customHeight="1">
      <c r="A322" s="464" t="s">
        <v>251</v>
      </c>
      <c r="B322" s="465" t="s">
        <v>287</v>
      </c>
      <c r="C322" s="465"/>
      <c r="D322" s="466">
        <v>198376</v>
      </c>
      <c r="E322" s="467">
        <v>9</v>
      </c>
      <c r="F322" s="376">
        <f t="shared" si="19"/>
        <v>85748</v>
      </c>
      <c r="G322" s="377">
        <f t="shared" si="20"/>
        <v>96011</v>
      </c>
      <c r="H322" s="411">
        <v>63999</v>
      </c>
      <c r="I322" s="412">
        <v>72398</v>
      </c>
      <c r="J322" s="411">
        <v>180</v>
      </c>
      <c r="K322" s="413">
        <v>22</v>
      </c>
      <c r="L322" s="414">
        <v>19574</v>
      </c>
      <c r="M322" s="411">
        <v>1760</v>
      </c>
      <c r="N322" s="411">
        <v>235</v>
      </c>
      <c r="O322" s="412">
        <v>22204</v>
      </c>
      <c r="P322" s="412">
        <v>1387</v>
      </c>
      <c r="Q322" s="413">
        <v>0</v>
      </c>
      <c r="R322" s="381"/>
      <c r="S322" s="390"/>
      <c r="T322" s="383">
        <f t="shared" si="21"/>
        <v>0</v>
      </c>
      <c r="U322" s="384">
        <f t="shared" si="22"/>
        <v>0</v>
      </c>
      <c r="V322" s="388"/>
      <c r="W322" s="389"/>
      <c r="X322" s="391"/>
      <c r="Y322" s="390"/>
      <c r="Z322" s="381"/>
      <c r="AA322" s="388"/>
      <c r="AB322" s="388"/>
      <c r="AC322" s="389"/>
      <c r="AD322" s="389"/>
      <c r="AE322" s="392"/>
      <c r="AF322" s="381"/>
      <c r="AG322" s="389"/>
    </row>
    <row r="323" spans="1:33" s="404" customFormat="1" ht="12.75" customHeight="1">
      <c r="A323" s="464" t="s">
        <v>251</v>
      </c>
      <c r="B323" s="465" t="s">
        <v>288</v>
      </c>
      <c r="C323" s="465"/>
      <c r="D323" s="466">
        <v>198491</v>
      </c>
      <c r="E323" s="467">
        <v>9</v>
      </c>
      <c r="F323" s="376">
        <f t="shared" si="19"/>
        <v>58811</v>
      </c>
      <c r="G323" s="377">
        <f t="shared" si="20"/>
        <v>75491</v>
      </c>
      <c r="H323" s="411">
        <v>41838</v>
      </c>
      <c r="I323" s="412">
        <v>52105</v>
      </c>
      <c r="J323" s="411">
        <v>1796</v>
      </c>
      <c r="K323" s="413">
        <v>1891</v>
      </c>
      <c r="L323" s="414">
        <v>15066</v>
      </c>
      <c r="M323" s="411">
        <v>111</v>
      </c>
      <c r="N323" s="411">
        <v>0</v>
      </c>
      <c r="O323" s="412">
        <v>21495</v>
      </c>
      <c r="P323" s="412">
        <v>0</v>
      </c>
      <c r="Q323" s="413">
        <v>0</v>
      </c>
      <c r="R323" s="381"/>
      <c r="S323" s="390"/>
      <c r="T323" s="383">
        <f t="shared" si="21"/>
        <v>0</v>
      </c>
      <c r="U323" s="384">
        <f t="shared" si="22"/>
        <v>0</v>
      </c>
      <c r="V323" s="388"/>
      <c r="W323" s="389"/>
      <c r="X323" s="391"/>
      <c r="Y323" s="390"/>
      <c r="Z323" s="381"/>
      <c r="AA323" s="388"/>
      <c r="AB323" s="388"/>
      <c r="AC323" s="389"/>
      <c r="AD323" s="389"/>
      <c r="AE323" s="392"/>
      <c r="AF323" s="381"/>
      <c r="AG323" s="389"/>
    </row>
    <row r="324" spans="1:33" s="404" customFormat="1" ht="12.75" customHeight="1">
      <c r="A324" s="464" t="s">
        <v>251</v>
      </c>
      <c r="B324" s="556" t="s">
        <v>289</v>
      </c>
      <c r="C324" s="557" t="s">
        <v>905</v>
      </c>
      <c r="D324" s="466">
        <v>198570</v>
      </c>
      <c r="E324" s="558">
        <v>8</v>
      </c>
      <c r="F324" s="376">
        <f t="shared" si="19"/>
        <v>138540</v>
      </c>
      <c r="G324" s="377">
        <f t="shared" si="20"/>
        <v>151327</v>
      </c>
      <c r="H324" s="411">
        <v>102119</v>
      </c>
      <c r="I324" s="412">
        <v>110795</v>
      </c>
      <c r="J324" s="411">
        <v>5877</v>
      </c>
      <c r="K324" s="413">
        <v>5218</v>
      </c>
      <c r="L324" s="414">
        <v>29548</v>
      </c>
      <c r="M324" s="411">
        <v>996</v>
      </c>
      <c r="N324" s="411">
        <v>0</v>
      </c>
      <c r="O324" s="412">
        <v>34114</v>
      </c>
      <c r="P324" s="412">
        <v>1200</v>
      </c>
      <c r="Q324" s="413">
        <v>0</v>
      </c>
      <c r="R324" s="381"/>
      <c r="S324" s="390"/>
      <c r="T324" s="383">
        <f t="shared" si="21"/>
        <v>0</v>
      </c>
      <c r="U324" s="384">
        <f t="shared" si="22"/>
        <v>0</v>
      </c>
      <c r="V324" s="388"/>
      <c r="W324" s="389"/>
      <c r="X324" s="391"/>
      <c r="Y324" s="390"/>
      <c r="Z324" s="381"/>
      <c r="AA324" s="388"/>
      <c r="AB324" s="388"/>
      <c r="AC324" s="389"/>
      <c r="AD324" s="389"/>
      <c r="AE324" s="392"/>
      <c r="AF324" s="381"/>
      <c r="AG324" s="389"/>
    </row>
    <row r="325" spans="1:33" s="404" customFormat="1" ht="12.75" customHeight="1">
      <c r="A325" s="464" t="s">
        <v>251</v>
      </c>
      <c r="B325" s="465" t="s">
        <v>290</v>
      </c>
      <c r="C325" s="465"/>
      <c r="D325" s="466">
        <v>198668</v>
      </c>
      <c r="E325" s="467">
        <v>9</v>
      </c>
      <c r="F325" s="376">
        <f t="shared" si="19"/>
        <v>43972</v>
      </c>
      <c r="G325" s="377">
        <f t="shared" si="20"/>
        <v>49510</v>
      </c>
      <c r="H325" s="411">
        <v>26259</v>
      </c>
      <c r="I325" s="412">
        <v>29794</v>
      </c>
      <c r="J325" s="411">
        <v>3675</v>
      </c>
      <c r="K325" s="413">
        <v>2345</v>
      </c>
      <c r="L325" s="414">
        <v>13750</v>
      </c>
      <c r="M325" s="411">
        <v>288</v>
      </c>
      <c r="N325" s="411">
        <v>0</v>
      </c>
      <c r="O325" s="412">
        <v>17263</v>
      </c>
      <c r="P325" s="412">
        <v>108</v>
      </c>
      <c r="Q325" s="413">
        <v>0</v>
      </c>
      <c r="R325" s="381"/>
      <c r="S325" s="390"/>
      <c r="T325" s="383">
        <f t="shared" si="21"/>
        <v>0</v>
      </c>
      <c r="U325" s="384">
        <f t="shared" si="22"/>
        <v>0</v>
      </c>
      <c r="V325" s="388"/>
      <c r="W325" s="389"/>
      <c r="X325" s="391"/>
      <c r="Y325" s="390"/>
      <c r="Z325" s="381"/>
      <c r="AA325" s="388"/>
      <c r="AB325" s="388"/>
      <c r="AC325" s="389"/>
      <c r="AD325" s="389"/>
      <c r="AE325" s="392"/>
      <c r="AF325" s="381"/>
      <c r="AG325" s="389"/>
    </row>
    <row r="326" spans="1:33" s="404" customFormat="1" ht="12.75" customHeight="1">
      <c r="A326" s="464" t="s">
        <v>251</v>
      </c>
      <c r="B326" s="465" t="s">
        <v>291</v>
      </c>
      <c r="C326" s="465"/>
      <c r="D326" s="466">
        <v>198710</v>
      </c>
      <c r="E326" s="467">
        <v>9</v>
      </c>
      <c r="F326" s="376">
        <f t="shared" si="19"/>
        <v>58184</v>
      </c>
      <c r="G326" s="377">
        <f t="shared" si="20"/>
        <v>66414</v>
      </c>
      <c r="H326" s="411">
        <v>47588</v>
      </c>
      <c r="I326" s="412">
        <v>50927</v>
      </c>
      <c r="J326" s="411">
        <v>2746</v>
      </c>
      <c r="K326" s="413">
        <v>3626</v>
      </c>
      <c r="L326" s="414">
        <v>7850</v>
      </c>
      <c r="M326" s="411">
        <v>0</v>
      </c>
      <c r="N326" s="411">
        <v>0</v>
      </c>
      <c r="O326" s="412">
        <v>11846</v>
      </c>
      <c r="P326" s="412">
        <v>15</v>
      </c>
      <c r="Q326" s="413">
        <v>0</v>
      </c>
      <c r="R326" s="381"/>
      <c r="S326" s="390"/>
      <c r="T326" s="383">
        <f t="shared" si="21"/>
        <v>0</v>
      </c>
      <c r="U326" s="384">
        <f t="shared" si="22"/>
        <v>0</v>
      </c>
      <c r="V326" s="388"/>
      <c r="W326" s="389"/>
      <c r="X326" s="391"/>
      <c r="Y326" s="390"/>
      <c r="Z326" s="381"/>
      <c r="AA326" s="388"/>
      <c r="AB326" s="388"/>
      <c r="AC326" s="389"/>
      <c r="AD326" s="389"/>
      <c r="AE326" s="392"/>
      <c r="AF326" s="381"/>
      <c r="AG326" s="389"/>
    </row>
    <row r="327" spans="1:33" s="404" customFormat="1" ht="12.75" customHeight="1">
      <c r="A327" s="464" t="s">
        <v>251</v>
      </c>
      <c r="B327" s="465" t="s">
        <v>292</v>
      </c>
      <c r="C327" s="465"/>
      <c r="D327" s="466">
        <v>198774</v>
      </c>
      <c r="E327" s="467">
        <v>9</v>
      </c>
      <c r="F327" s="376">
        <f t="shared" si="19"/>
        <v>95374</v>
      </c>
      <c r="G327" s="377">
        <f t="shared" si="20"/>
        <v>92041</v>
      </c>
      <c r="H327" s="411">
        <v>57378</v>
      </c>
      <c r="I327" s="412">
        <v>61527</v>
      </c>
      <c r="J327" s="411">
        <v>17469</v>
      </c>
      <c r="K327" s="413">
        <v>7635</v>
      </c>
      <c r="L327" s="414">
        <v>20287</v>
      </c>
      <c r="M327" s="411">
        <v>0</v>
      </c>
      <c r="N327" s="411">
        <v>240</v>
      </c>
      <c r="O327" s="412">
        <v>22423</v>
      </c>
      <c r="P327" s="412">
        <v>186</v>
      </c>
      <c r="Q327" s="413">
        <v>270</v>
      </c>
      <c r="R327" s="381"/>
      <c r="S327" s="390"/>
      <c r="T327" s="383">
        <f t="shared" si="21"/>
        <v>0</v>
      </c>
      <c r="U327" s="384">
        <f t="shared" si="22"/>
        <v>0</v>
      </c>
      <c r="V327" s="388"/>
      <c r="W327" s="389"/>
      <c r="X327" s="391"/>
      <c r="Y327" s="390"/>
      <c r="Z327" s="381"/>
      <c r="AA327" s="388"/>
      <c r="AB327" s="388"/>
      <c r="AC327" s="389"/>
      <c r="AD327" s="389"/>
      <c r="AE327" s="392"/>
      <c r="AF327" s="381"/>
      <c r="AG327" s="389"/>
    </row>
    <row r="328" spans="1:33" s="404" customFormat="1" ht="12.75" customHeight="1">
      <c r="A328" s="464" t="s">
        <v>251</v>
      </c>
      <c r="B328" s="465" t="s">
        <v>293</v>
      </c>
      <c r="C328" s="465"/>
      <c r="D328" s="466">
        <v>198817</v>
      </c>
      <c r="E328" s="467">
        <v>9</v>
      </c>
      <c r="F328" s="376">
        <f t="shared" ref="F328:F391" si="23">SUM(H328,J328,L328,M328,N328,R328)</f>
        <v>72306</v>
      </c>
      <c r="G328" s="377">
        <f t="shared" ref="G328:G391" si="24">SUM(I328,K328,O328,P328,Q328,S328)</f>
        <v>81761</v>
      </c>
      <c r="H328" s="411">
        <v>44899</v>
      </c>
      <c r="I328" s="412">
        <v>49592</v>
      </c>
      <c r="J328" s="411">
        <v>4765</v>
      </c>
      <c r="K328" s="413">
        <v>3223</v>
      </c>
      <c r="L328" s="414">
        <v>22642</v>
      </c>
      <c r="M328" s="411">
        <v>0</v>
      </c>
      <c r="N328" s="411">
        <v>0</v>
      </c>
      <c r="O328" s="412">
        <v>28946</v>
      </c>
      <c r="P328" s="412">
        <v>0</v>
      </c>
      <c r="Q328" s="413">
        <v>0</v>
      </c>
      <c r="R328" s="381"/>
      <c r="S328" s="390"/>
      <c r="T328" s="383">
        <f t="shared" ref="T328:T391" si="25">SUM(V328,X328,Z328,AA328,AB328,AF328)</f>
        <v>0</v>
      </c>
      <c r="U328" s="384">
        <f t="shared" ref="U328:U391" si="26">SUM(W328,Y328,AC328,AD328,AE328,AG328)</f>
        <v>0</v>
      </c>
      <c r="V328" s="388"/>
      <c r="W328" s="389"/>
      <c r="X328" s="391"/>
      <c r="Y328" s="390"/>
      <c r="Z328" s="381"/>
      <c r="AA328" s="388"/>
      <c r="AB328" s="388"/>
      <c r="AC328" s="389"/>
      <c r="AD328" s="389"/>
      <c r="AE328" s="392"/>
      <c r="AF328" s="381"/>
      <c r="AG328" s="389"/>
    </row>
    <row r="329" spans="1:33" s="404" customFormat="1" ht="12.75" customHeight="1">
      <c r="A329" s="468" t="s">
        <v>251</v>
      </c>
      <c r="B329" s="556" t="s">
        <v>294</v>
      </c>
      <c r="C329" s="557" t="s">
        <v>907</v>
      </c>
      <c r="D329" s="466">
        <v>198914</v>
      </c>
      <c r="E329" s="558">
        <v>10</v>
      </c>
      <c r="F329" s="376">
        <f t="shared" si="23"/>
        <v>30891</v>
      </c>
      <c r="G329" s="377">
        <f t="shared" si="24"/>
        <v>28835</v>
      </c>
      <c r="H329" s="411">
        <v>17225</v>
      </c>
      <c r="I329" s="412">
        <v>17890</v>
      </c>
      <c r="J329" s="411">
        <v>10395</v>
      </c>
      <c r="K329" s="413">
        <v>7548</v>
      </c>
      <c r="L329" s="414">
        <v>3208</v>
      </c>
      <c r="M329" s="411">
        <v>63</v>
      </c>
      <c r="N329" s="411">
        <v>0</v>
      </c>
      <c r="O329" s="412">
        <v>3234</v>
      </c>
      <c r="P329" s="412">
        <v>163</v>
      </c>
      <c r="Q329" s="413">
        <v>0</v>
      </c>
      <c r="R329" s="381"/>
      <c r="S329" s="390"/>
      <c r="T329" s="383">
        <f t="shared" si="25"/>
        <v>0</v>
      </c>
      <c r="U329" s="384">
        <f t="shared" si="26"/>
        <v>0</v>
      </c>
      <c r="V329" s="388"/>
      <c r="W329" s="389"/>
      <c r="X329" s="391"/>
      <c r="Y329" s="390"/>
      <c r="Z329" s="381"/>
      <c r="AA329" s="388"/>
      <c r="AB329" s="388"/>
      <c r="AC329" s="389"/>
      <c r="AD329" s="389"/>
      <c r="AE329" s="392"/>
      <c r="AF329" s="381"/>
      <c r="AG329" s="389"/>
    </row>
    <row r="330" spans="1:33" s="404" customFormat="1" ht="12.75" customHeight="1">
      <c r="A330" s="464" t="s">
        <v>251</v>
      </c>
      <c r="B330" s="465" t="s">
        <v>295</v>
      </c>
      <c r="C330" s="465"/>
      <c r="D330" s="466">
        <v>198987</v>
      </c>
      <c r="E330" s="467">
        <v>9</v>
      </c>
      <c r="F330" s="376">
        <f t="shared" si="23"/>
        <v>65538</v>
      </c>
      <c r="G330" s="377">
        <f t="shared" si="24"/>
        <v>76056</v>
      </c>
      <c r="H330" s="411">
        <v>55231</v>
      </c>
      <c r="I330" s="412">
        <v>61231</v>
      </c>
      <c r="J330" s="411">
        <v>2160</v>
      </c>
      <c r="K330" s="413">
        <v>2971</v>
      </c>
      <c r="L330" s="414">
        <v>8000</v>
      </c>
      <c r="M330" s="411">
        <v>0</v>
      </c>
      <c r="N330" s="411">
        <v>147</v>
      </c>
      <c r="O330" s="412">
        <v>11854</v>
      </c>
      <c r="P330" s="412">
        <v>0</v>
      </c>
      <c r="Q330" s="413">
        <v>0</v>
      </c>
      <c r="R330" s="381"/>
      <c r="S330" s="390"/>
      <c r="T330" s="383">
        <f t="shared" si="25"/>
        <v>0</v>
      </c>
      <c r="U330" s="384">
        <f t="shared" si="26"/>
        <v>0</v>
      </c>
      <c r="V330" s="388"/>
      <c r="W330" s="389"/>
      <c r="X330" s="391"/>
      <c r="Y330" s="390"/>
      <c r="Z330" s="381"/>
      <c r="AA330" s="388"/>
      <c r="AB330" s="388"/>
      <c r="AC330" s="389"/>
      <c r="AD330" s="389"/>
      <c r="AE330" s="392"/>
      <c r="AF330" s="381"/>
      <c r="AG330" s="389"/>
    </row>
    <row r="331" spans="1:33" s="404" customFormat="1" ht="12.75" customHeight="1">
      <c r="A331" s="464" t="s">
        <v>251</v>
      </c>
      <c r="B331" s="465" t="s">
        <v>296</v>
      </c>
      <c r="C331" s="465"/>
      <c r="D331" s="466">
        <v>199087</v>
      </c>
      <c r="E331" s="467">
        <v>9</v>
      </c>
      <c r="F331" s="376">
        <f t="shared" si="23"/>
        <v>58338</v>
      </c>
      <c r="G331" s="377">
        <f t="shared" si="24"/>
        <v>61946</v>
      </c>
      <c r="H331" s="411">
        <v>47751</v>
      </c>
      <c r="I331" s="412">
        <v>49717</v>
      </c>
      <c r="J331" s="411">
        <v>2510</v>
      </c>
      <c r="K331" s="413">
        <v>2690</v>
      </c>
      <c r="L331" s="414">
        <v>8077</v>
      </c>
      <c r="M331" s="411">
        <v>0</v>
      </c>
      <c r="N331" s="411">
        <v>0</v>
      </c>
      <c r="O331" s="412">
        <v>9302</v>
      </c>
      <c r="P331" s="412">
        <v>237</v>
      </c>
      <c r="Q331" s="413">
        <v>0</v>
      </c>
      <c r="R331" s="381"/>
      <c r="S331" s="390"/>
      <c r="T331" s="383">
        <f t="shared" si="25"/>
        <v>0</v>
      </c>
      <c r="U331" s="384">
        <f t="shared" si="26"/>
        <v>0</v>
      </c>
      <c r="V331" s="388"/>
      <c r="W331" s="389"/>
      <c r="X331" s="391"/>
      <c r="Y331" s="390"/>
      <c r="Z331" s="381"/>
      <c r="AA331" s="388"/>
      <c r="AB331" s="388"/>
      <c r="AC331" s="389"/>
      <c r="AD331" s="389"/>
      <c r="AE331" s="392"/>
      <c r="AF331" s="381"/>
      <c r="AG331" s="389"/>
    </row>
    <row r="332" spans="1:33" s="404" customFormat="1" ht="12.75" customHeight="1">
      <c r="A332" s="464" t="s">
        <v>251</v>
      </c>
      <c r="B332" s="556" t="s">
        <v>297</v>
      </c>
      <c r="C332" s="557" t="s">
        <v>907</v>
      </c>
      <c r="D332" s="466">
        <v>199324</v>
      </c>
      <c r="E332" s="558">
        <v>10</v>
      </c>
      <c r="F332" s="376">
        <f t="shared" si="23"/>
        <v>54201</v>
      </c>
      <c r="G332" s="377">
        <f t="shared" si="24"/>
        <v>55522</v>
      </c>
      <c r="H332" s="411">
        <v>34595</v>
      </c>
      <c r="I332" s="412">
        <v>35368</v>
      </c>
      <c r="J332" s="411">
        <v>5207</v>
      </c>
      <c r="K332" s="413">
        <v>4487</v>
      </c>
      <c r="L332" s="414">
        <v>12091</v>
      </c>
      <c r="M332" s="411">
        <v>2179</v>
      </c>
      <c r="N332" s="411">
        <v>129</v>
      </c>
      <c r="O332" s="412">
        <v>12729</v>
      </c>
      <c r="P332" s="412">
        <v>2908</v>
      </c>
      <c r="Q332" s="413">
        <v>30</v>
      </c>
      <c r="R332" s="381"/>
      <c r="S332" s="390"/>
      <c r="T332" s="383">
        <f t="shared" si="25"/>
        <v>0</v>
      </c>
      <c r="U332" s="384">
        <f t="shared" si="26"/>
        <v>0</v>
      </c>
      <c r="V332" s="388"/>
      <c r="W332" s="389"/>
      <c r="X332" s="391"/>
      <c r="Y332" s="390"/>
      <c r="Z332" s="381"/>
      <c r="AA332" s="388"/>
      <c r="AB332" s="388"/>
      <c r="AC332" s="389"/>
      <c r="AD332" s="389"/>
      <c r="AE332" s="392"/>
      <c r="AF332" s="381"/>
      <c r="AG332" s="389"/>
    </row>
    <row r="333" spans="1:33" s="404" customFormat="1" ht="12.75" customHeight="1">
      <c r="A333" s="464" t="s">
        <v>251</v>
      </c>
      <c r="B333" s="465" t="s">
        <v>298</v>
      </c>
      <c r="C333" s="465"/>
      <c r="D333" s="466">
        <v>199421</v>
      </c>
      <c r="E333" s="467">
        <v>9</v>
      </c>
      <c r="F333" s="376">
        <f t="shared" si="23"/>
        <v>55502</v>
      </c>
      <c r="G333" s="377">
        <f t="shared" si="24"/>
        <v>63901</v>
      </c>
      <c r="H333" s="411">
        <v>38867</v>
      </c>
      <c r="I333" s="412">
        <v>45587</v>
      </c>
      <c r="J333" s="411">
        <v>2913</v>
      </c>
      <c r="K333" s="413">
        <v>3474</v>
      </c>
      <c r="L333" s="414">
        <v>11951</v>
      </c>
      <c r="M333" s="411">
        <v>1771</v>
      </c>
      <c r="N333" s="411">
        <v>0</v>
      </c>
      <c r="O333" s="412">
        <v>12979</v>
      </c>
      <c r="P333" s="412">
        <v>1475</v>
      </c>
      <c r="Q333" s="413">
        <v>386</v>
      </c>
      <c r="R333" s="381"/>
      <c r="S333" s="390"/>
      <c r="T333" s="383">
        <f t="shared" si="25"/>
        <v>0</v>
      </c>
      <c r="U333" s="384">
        <f t="shared" si="26"/>
        <v>0</v>
      </c>
      <c r="V333" s="388"/>
      <c r="W333" s="389"/>
      <c r="X333" s="391"/>
      <c r="Y333" s="390"/>
      <c r="Z333" s="381"/>
      <c r="AA333" s="388"/>
      <c r="AB333" s="388"/>
      <c r="AC333" s="389"/>
      <c r="AD333" s="389"/>
      <c r="AE333" s="392"/>
      <c r="AF333" s="381"/>
      <c r="AG333" s="389"/>
    </row>
    <row r="334" spans="1:33" s="404" customFormat="1" ht="12.75" customHeight="1">
      <c r="A334" s="464" t="s">
        <v>251</v>
      </c>
      <c r="B334" s="556" t="s">
        <v>299</v>
      </c>
      <c r="C334" s="557" t="s">
        <v>907</v>
      </c>
      <c r="D334" s="466">
        <v>199449</v>
      </c>
      <c r="E334" s="558">
        <v>10</v>
      </c>
      <c r="F334" s="376">
        <f t="shared" si="23"/>
        <v>34656</v>
      </c>
      <c r="G334" s="377">
        <f t="shared" si="24"/>
        <v>40043</v>
      </c>
      <c r="H334" s="411">
        <v>29248</v>
      </c>
      <c r="I334" s="412">
        <v>34416</v>
      </c>
      <c r="J334" s="411">
        <v>629</v>
      </c>
      <c r="K334" s="413">
        <v>527</v>
      </c>
      <c r="L334" s="414">
        <v>4755</v>
      </c>
      <c r="M334" s="411">
        <v>24</v>
      </c>
      <c r="N334" s="411">
        <v>0</v>
      </c>
      <c r="O334" s="412">
        <v>5049</v>
      </c>
      <c r="P334" s="412">
        <v>51</v>
      </c>
      <c r="Q334" s="413">
        <v>0</v>
      </c>
      <c r="R334" s="381"/>
      <c r="S334" s="390"/>
      <c r="T334" s="383">
        <f t="shared" si="25"/>
        <v>0</v>
      </c>
      <c r="U334" s="384">
        <f t="shared" si="26"/>
        <v>0</v>
      </c>
      <c r="V334" s="388"/>
      <c r="W334" s="389"/>
      <c r="X334" s="391"/>
      <c r="Y334" s="390"/>
      <c r="Z334" s="381"/>
      <c r="AA334" s="388"/>
      <c r="AB334" s="388"/>
      <c r="AC334" s="389"/>
      <c r="AD334" s="389"/>
      <c r="AE334" s="392"/>
      <c r="AF334" s="381"/>
      <c r="AG334" s="389"/>
    </row>
    <row r="335" spans="1:33" s="404" customFormat="1" ht="12.75" customHeight="1">
      <c r="A335" s="464" t="s">
        <v>251</v>
      </c>
      <c r="B335" s="465" t="s">
        <v>300</v>
      </c>
      <c r="C335" s="465"/>
      <c r="D335" s="466">
        <v>199476</v>
      </c>
      <c r="E335" s="467">
        <v>9</v>
      </c>
      <c r="F335" s="376">
        <f t="shared" si="23"/>
        <v>58825</v>
      </c>
      <c r="G335" s="377">
        <f t="shared" si="24"/>
        <v>62535</v>
      </c>
      <c r="H335" s="411">
        <v>46438</v>
      </c>
      <c r="I335" s="412">
        <v>49529</v>
      </c>
      <c r="J335" s="411">
        <v>2756</v>
      </c>
      <c r="K335" s="413">
        <v>2788</v>
      </c>
      <c r="L335" s="414">
        <v>9559</v>
      </c>
      <c r="M335" s="411">
        <v>72</v>
      </c>
      <c r="N335" s="411">
        <v>0</v>
      </c>
      <c r="O335" s="412">
        <v>10218</v>
      </c>
      <c r="P335" s="412">
        <v>0</v>
      </c>
      <c r="Q335" s="413">
        <v>0</v>
      </c>
      <c r="R335" s="381"/>
      <c r="S335" s="390"/>
      <c r="T335" s="383">
        <f t="shared" si="25"/>
        <v>0</v>
      </c>
      <c r="U335" s="384">
        <f t="shared" si="26"/>
        <v>0</v>
      </c>
      <c r="V335" s="388"/>
      <c r="W335" s="389"/>
      <c r="X335" s="391"/>
      <c r="Y335" s="390"/>
      <c r="Z335" s="381"/>
      <c r="AA335" s="388"/>
      <c r="AB335" s="388"/>
      <c r="AC335" s="389"/>
      <c r="AD335" s="389"/>
      <c r="AE335" s="392"/>
      <c r="AF335" s="381"/>
      <c r="AG335" s="389"/>
    </row>
    <row r="336" spans="1:33" s="404" customFormat="1" ht="12.75" customHeight="1">
      <c r="A336" s="464" t="s">
        <v>251</v>
      </c>
      <c r="B336" s="556" t="s">
        <v>301</v>
      </c>
      <c r="C336" s="557" t="s">
        <v>907</v>
      </c>
      <c r="D336" s="466">
        <v>199485</v>
      </c>
      <c r="E336" s="558">
        <v>10</v>
      </c>
      <c r="F336" s="376">
        <f t="shared" si="23"/>
        <v>49330</v>
      </c>
      <c r="G336" s="377">
        <f t="shared" si="24"/>
        <v>53407</v>
      </c>
      <c r="H336" s="411">
        <v>45115</v>
      </c>
      <c r="I336" s="412">
        <v>48837</v>
      </c>
      <c r="J336" s="411">
        <v>48</v>
      </c>
      <c r="K336" s="413">
        <v>0</v>
      </c>
      <c r="L336" s="414">
        <v>3990</v>
      </c>
      <c r="M336" s="411">
        <v>6</v>
      </c>
      <c r="N336" s="411">
        <v>171</v>
      </c>
      <c r="O336" s="412">
        <v>4441</v>
      </c>
      <c r="P336" s="412">
        <v>60</v>
      </c>
      <c r="Q336" s="413">
        <v>69</v>
      </c>
      <c r="R336" s="381"/>
      <c r="S336" s="390"/>
      <c r="T336" s="383">
        <f t="shared" si="25"/>
        <v>0</v>
      </c>
      <c r="U336" s="384">
        <f t="shared" si="26"/>
        <v>0</v>
      </c>
      <c r="V336" s="388"/>
      <c r="W336" s="389"/>
      <c r="X336" s="391"/>
      <c r="Y336" s="390"/>
      <c r="Z336" s="381"/>
      <c r="AA336" s="388"/>
      <c r="AB336" s="388"/>
      <c r="AC336" s="389"/>
      <c r="AD336" s="389"/>
      <c r="AE336" s="392"/>
      <c r="AF336" s="381"/>
      <c r="AG336" s="389"/>
    </row>
    <row r="337" spans="1:33" s="404" customFormat="1" ht="12.75" customHeight="1">
      <c r="A337" s="464" t="s">
        <v>251</v>
      </c>
      <c r="B337" s="465" t="s">
        <v>302</v>
      </c>
      <c r="C337" s="465"/>
      <c r="D337" s="466">
        <v>199634</v>
      </c>
      <c r="E337" s="467">
        <v>9</v>
      </c>
      <c r="F337" s="376">
        <f t="shared" si="23"/>
        <v>84647</v>
      </c>
      <c r="G337" s="377">
        <f t="shared" si="24"/>
        <v>89719</v>
      </c>
      <c r="H337" s="411">
        <v>66331</v>
      </c>
      <c r="I337" s="412">
        <v>69781</v>
      </c>
      <c r="J337" s="411">
        <v>2567</v>
      </c>
      <c r="K337" s="413">
        <v>1517</v>
      </c>
      <c r="L337" s="414">
        <v>15749</v>
      </c>
      <c r="M337" s="411">
        <v>0</v>
      </c>
      <c r="N337" s="411">
        <v>0</v>
      </c>
      <c r="O337" s="412">
        <v>18421</v>
      </c>
      <c r="P337" s="412">
        <v>0</v>
      </c>
      <c r="Q337" s="413">
        <v>0</v>
      </c>
      <c r="R337" s="381"/>
      <c r="S337" s="390"/>
      <c r="T337" s="383">
        <f t="shared" si="25"/>
        <v>0</v>
      </c>
      <c r="U337" s="384">
        <f t="shared" si="26"/>
        <v>0</v>
      </c>
      <c r="V337" s="388"/>
      <c r="W337" s="389"/>
      <c r="X337" s="391"/>
      <c r="Y337" s="390"/>
      <c r="Z337" s="381"/>
      <c r="AA337" s="388"/>
      <c r="AB337" s="388"/>
      <c r="AC337" s="389"/>
      <c r="AD337" s="389"/>
      <c r="AE337" s="392"/>
      <c r="AF337" s="381"/>
      <c r="AG337" s="389"/>
    </row>
    <row r="338" spans="1:33" s="404" customFormat="1" ht="12.75" customHeight="1">
      <c r="A338" s="464" t="s">
        <v>251</v>
      </c>
      <c r="B338" s="556" t="s">
        <v>303</v>
      </c>
      <c r="C338" s="557" t="s">
        <v>907</v>
      </c>
      <c r="D338" s="466">
        <v>197850</v>
      </c>
      <c r="E338" s="558">
        <v>10</v>
      </c>
      <c r="F338" s="376">
        <f t="shared" si="23"/>
        <v>47847</v>
      </c>
      <c r="G338" s="377">
        <f t="shared" si="24"/>
        <v>53273</v>
      </c>
      <c r="H338" s="411">
        <v>25987</v>
      </c>
      <c r="I338" s="412">
        <v>31275</v>
      </c>
      <c r="J338" s="411">
        <v>3210</v>
      </c>
      <c r="K338" s="413">
        <v>2967</v>
      </c>
      <c r="L338" s="414">
        <v>17707</v>
      </c>
      <c r="M338" s="411">
        <v>943</v>
      </c>
      <c r="N338" s="411">
        <v>0</v>
      </c>
      <c r="O338" s="412">
        <v>18532</v>
      </c>
      <c r="P338" s="412">
        <v>499</v>
      </c>
      <c r="Q338" s="413">
        <v>0</v>
      </c>
      <c r="R338" s="381"/>
      <c r="S338" s="390"/>
      <c r="T338" s="383">
        <f t="shared" si="25"/>
        <v>0</v>
      </c>
      <c r="U338" s="384">
        <f t="shared" si="26"/>
        <v>0</v>
      </c>
      <c r="V338" s="388"/>
      <c r="W338" s="389"/>
      <c r="X338" s="391"/>
      <c r="Y338" s="390"/>
      <c r="Z338" s="381"/>
      <c r="AA338" s="388"/>
      <c r="AB338" s="388"/>
      <c r="AC338" s="389"/>
      <c r="AD338" s="389"/>
      <c r="AE338" s="392"/>
      <c r="AF338" s="381"/>
      <c r="AG338" s="389"/>
    </row>
    <row r="339" spans="1:33" s="404" customFormat="1" ht="12.75" customHeight="1">
      <c r="A339" s="464" t="s">
        <v>251</v>
      </c>
      <c r="B339" s="556" t="s">
        <v>304</v>
      </c>
      <c r="C339" s="557" t="s">
        <v>907</v>
      </c>
      <c r="D339" s="466">
        <v>199722</v>
      </c>
      <c r="E339" s="558">
        <v>10</v>
      </c>
      <c r="F339" s="376">
        <f t="shared" si="23"/>
        <v>48848</v>
      </c>
      <c r="G339" s="377">
        <f t="shared" si="24"/>
        <v>49508</v>
      </c>
      <c r="H339" s="411">
        <v>32355</v>
      </c>
      <c r="I339" s="412">
        <v>31608</v>
      </c>
      <c r="J339" s="411">
        <v>1924</v>
      </c>
      <c r="K339" s="413">
        <v>720</v>
      </c>
      <c r="L339" s="414">
        <v>14404</v>
      </c>
      <c r="M339" s="411">
        <v>165</v>
      </c>
      <c r="N339" s="411">
        <v>0</v>
      </c>
      <c r="O339" s="412">
        <v>16788</v>
      </c>
      <c r="P339" s="412">
        <v>392</v>
      </c>
      <c r="Q339" s="413">
        <v>0</v>
      </c>
      <c r="R339" s="381"/>
      <c r="S339" s="390"/>
      <c r="T339" s="383">
        <f t="shared" si="25"/>
        <v>0</v>
      </c>
      <c r="U339" s="384">
        <f t="shared" si="26"/>
        <v>0</v>
      </c>
      <c r="V339" s="388"/>
      <c r="W339" s="389"/>
      <c r="X339" s="391"/>
      <c r="Y339" s="390"/>
      <c r="Z339" s="381"/>
      <c r="AA339" s="388"/>
      <c r="AB339" s="388"/>
      <c r="AC339" s="389"/>
      <c r="AD339" s="389"/>
      <c r="AE339" s="392"/>
      <c r="AF339" s="381"/>
      <c r="AG339" s="389"/>
    </row>
    <row r="340" spans="1:33" s="404" customFormat="1" ht="12.75" customHeight="1">
      <c r="A340" s="464" t="s">
        <v>251</v>
      </c>
      <c r="B340" s="556" t="s">
        <v>305</v>
      </c>
      <c r="C340" s="557" t="s">
        <v>907</v>
      </c>
      <c r="D340" s="466">
        <v>199731</v>
      </c>
      <c r="E340" s="558">
        <v>10</v>
      </c>
      <c r="F340" s="376">
        <f t="shared" si="23"/>
        <v>49656</v>
      </c>
      <c r="G340" s="377">
        <f t="shared" si="24"/>
        <v>55269</v>
      </c>
      <c r="H340" s="411">
        <v>32996</v>
      </c>
      <c r="I340" s="412">
        <v>35483</v>
      </c>
      <c r="J340" s="411">
        <v>2986</v>
      </c>
      <c r="K340" s="413">
        <v>3177</v>
      </c>
      <c r="L340" s="414">
        <v>11584</v>
      </c>
      <c r="M340" s="411">
        <v>2090</v>
      </c>
      <c r="N340" s="411">
        <v>0</v>
      </c>
      <c r="O340" s="412">
        <v>14435</v>
      </c>
      <c r="P340" s="412">
        <v>2174</v>
      </c>
      <c r="Q340" s="413">
        <v>0</v>
      </c>
      <c r="R340" s="381"/>
      <c r="S340" s="390"/>
      <c r="T340" s="383">
        <f t="shared" si="25"/>
        <v>0</v>
      </c>
      <c r="U340" s="384">
        <f t="shared" si="26"/>
        <v>0</v>
      </c>
      <c r="V340" s="388"/>
      <c r="W340" s="389"/>
      <c r="X340" s="391"/>
      <c r="Y340" s="390"/>
      <c r="Z340" s="381"/>
      <c r="AA340" s="388"/>
      <c r="AB340" s="388"/>
      <c r="AC340" s="389"/>
      <c r="AD340" s="389"/>
      <c r="AE340" s="392"/>
      <c r="AF340" s="381"/>
      <c r="AG340" s="389"/>
    </row>
    <row r="341" spans="1:33" s="404" customFormat="1" ht="12.75" customHeight="1">
      <c r="A341" s="464" t="s">
        <v>251</v>
      </c>
      <c r="B341" s="465" t="s">
        <v>306</v>
      </c>
      <c r="C341" s="465"/>
      <c r="D341" s="466">
        <v>199740</v>
      </c>
      <c r="E341" s="467">
        <v>9</v>
      </c>
      <c r="F341" s="376">
        <f t="shared" si="23"/>
        <v>63226</v>
      </c>
      <c r="G341" s="377">
        <f t="shared" si="24"/>
        <v>69443</v>
      </c>
      <c r="H341" s="411">
        <v>28153</v>
      </c>
      <c r="I341" s="412">
        <v>30382</v>
      </c>
      <c r="J341" s="411">
        <v>4236</v>
      </c>
      <c r="K341" s="413">
        <v>3903</v>
      </c>
      <c r="L341" s="414">
        <v>28452</v>
      </c>
      <c r="M341" s="411">
        <v>2385</v>
      </c>
      <c r="N341" s="411">
        <v>0</v>
      </c>
      <c r="O341" s="412">
        <v>32392</v>
      </c>
      <c r="P341" s="412">
        <v>2766</v>
      </c>
      <c r="Q341" s="413">
        <v>0</v>
      </c>
      <c r="R341" s="381"/>
      <c r="S341" s="390"/>
      <c r="T341" s="383">
        <f t="shared" si="25"/>
        <v>0</v>
      </c>
      <c r="U341" s="384">
        <f t="shared" si="26"/>
        <v>0</v>
      </c>
      <c r="V341" s="388"/>
      <c r="W341" s="389"/>
      <c r="X341" s="391"/>
      <c r="Y341" s="390"/>
      <c r="Z341" s="381"/>
      <c r="AA341" s="388"/>
      <c r="AB341" s="388"/>
      <c r="AC341" s="389"/>
      <c r="AD341" s="389"/>
      <c r="AE341" s="392"/>
      <c r="AF341" s="381"/>
      <c r="AG341" s="389"/>
    </row>
    <row r="342" spans="1:33" s="404" customFormat="1" ht="12.75" customHeight="1">
      <c r="A342" s="464" t="s">
        <v>251</v>
      </c>
      <c r="B342" s="465" t="s">
        <v>307</v>
      </c>
      <c r="C342" s="465"/>
      <c r="D342" s="466">
        <v>199768</v>
      </c>
      <c r="E342" s="467">
        <v>9</v>
      </c>
      <c r="F342" s="376">
        <f t="shared" si="23"/>
        <v>74615</v>
      </c>
      <c r="G342" s="377">
        <f t="shared" si="24"/>
        <v>76882</v>
      </c>
      <c r="H342" s="411">
        <v>57857</v>
      </c>
      <c r="I342" s="412">
        <v>58143</v>
      </c>
      <c r="J342" s="411">
        <v>92</v>
      </c>
      <c r="K342" s="413">
        <v>150</v>
      </c>
      <c r="L342" s="414">
        <v>15731</v>
      </c>
      <c r="M342" s="411">
        <v>935</v>
      </c>
      <c r="N342" s="411">
        <v>0</v>
      </c>
      <c r="O342" s="412">
        <v>17523</v>
      </c>
      <c r="P342" s="412">
        <v>1066</v>
      </c>
      <c r="Q342" s="413">
        <v>0</v>
      </c>
      <c r="R342" s="381"/>
      <c r="S342" s="390"/>
      <c r="T342" s="383">
        <f t="shared" si="25"/>
        <v>0</v>
      </c>
      <c r="U342" s="384">
        <f t="shared" si="26"/>
        <v>0</v>
      </c>
      <c r="V342" s="388"/>
      <c r="W342" s="389"/>
      <c r="X342" s="391"/>
      <c r="Y342" s="390"/>
      <c r="Z342" s="381"/>
      <c r="AA342" s="388"/>
      <c r="AB342" s="388"/>
      <c r="AC342" s="389"/>
      <c r="AD342" s="389"/>
      <c r="AE342" s="392"/>
      <c r="AF342" s="381"/>
      <c r="AG342" s="389"/>
    </row>
    <row r="343" spans="1:33" s="404" customFormat="1" ht="12.75" customHeight="1">
      <c r="A343" s="464" t="s">
        <v>251</v>
      </c>
      <c r="B343" s="465" t="s">
        <v>308</v>
      </c>
      <c r="C343" s="465"/>
      <c r="D343" s="466">
        <v>199838</v>
      </c>
      <c r="E343" s="467">
        <v>9</v>
      </c>
      <c r="F343" s="376">
        <f t="shared" si="23"/>
        <v>89866</v>
      </c>
      <c r="G343" s="377">
        <f t="shared" si="24"/>
        <v>87227</v>
      </c>
      <c r="H343" s="411">
        <v>59055</v>
      </c>
      <c r="I343" s="412">
        <v>59223</v>
      </c>
      <c r="J343" s="411">
        <v>8900</v>
      </c>
      <c r="K343" s="413">
        <v>6129</v>
      </c>
      <c r="L343" s="414">
        <v>20685</v>
      </c>
      <c r="M343" s="411">
        <v>1226</v>
      </c>
      <c r="N343" s="411">
        <v>0</v>
      </c>
      <c r="O343" s="412">
        <v>20533</v>
      </c>
      <c r="P343" s="412">
        <v>1342</v>
      </c>
      <c r="Q343" s="413">
        <v>0</v>
      </c>
      <c r="R343" s="381"/>
      <c r="S343" s="390"/>
      <c r="T343" s="383">
        <f t="shared" si="25"/>
        <v>0</v>
      </c>
      <c r="U343" s="384">
        <f t="shared" si="26"/>
        <v>0</v>
      </c>
      <c r="V343" s="388"/>
      <c r="W343" s="389"/>
      <c r="X343" s="391"/>
      <c r="Y343" s="390"/>
      <c r="Z343" s="381"/>
      <c r="AA343" s="388"/>
      <c r="AB343" s="388"/>
      <c r="AC343" s="389"/>
      <c r="AD343" s="389"/>
      <c r="AE343" s="392"/>
      <c r="AF343" s="381"/>
      <c r="AG343" s="389"/>
    </row>
    <row r="344" spans="1:33" s="404" customFormat="1" ht="12.75" customHeight="1">
      <c r="A344" s="464" t="s">
        <v>251</v>
      </c>
      <c r="B344" s="465" t="s">
        <v>309</v>
      </c>
      <c r="C344" s="465"/>
      <c r="D344" s="466">
        <v>199892</v>
      </c>
      <c r="E344" s="467">
        <v>9</v>
      </c>
      <c r="F344" s="376">
        <f t="shared" si="23"/>
        <v>76026</v>
      </c>
      <c r="G344" s="377">
        <f t="shared" si="24"/>
        <v>83747</v>
      </c>
      <c r="H344" s="411">
        <v>52602</v>
      </c>
      <c r="I344" s="412">
        <v>58184</v>
      </c>
      <c r="J344" s="411">
        <v>4353</v>
      </c>
      <c r="K344" s="413">
        <v>3936</v>
      </c>
      <c r="L344" s="414">
        <v>18753</v>
      </c>
      <c r="M344" s="411">
        <v>0</v>
      </c>
      <c r="N344" s="411">
        <v>318</v>
      </c>
      <c r="O344" s="412">
        <v>21492</v>
      </c>
      <c r="P344" s="412">
        <v>0</v>
      </c>
      <c r="Q344" s="413">
        <v>135</v>
      </c>
      <c r="R344" s="381"/>
      <c r="S344" s="390"/>
      <c r="T344" s="383">
        <f t="shared" si="25"/>
        <v>0</v>
      </c>
      <c r="U344" s="384">
        <f t="shared" si="26"/>
        <v>0</v>
      </c>
      <c r="V344" s="388"/>
      <c r="W344" s="389"/>
      <c r="X344" s="391"/>
      <c r="Y344" s="390"/>
      <c r="Z344" s="381"/>
      <c r="AA344" s="388"/>
      <c r="AB344" s="388"/>
      <c r="AC344" s="389"/>
      <c r="AD344" s="389"/>
      <c r="AE344" s="392"/>
      <c r="AF344" s="381"/>
      <c r="AG344" s="389"/>
    </row>
    <row r="345" spans="1:33" s="404" customFormat="1" ht="12.75" customHeight="1">
      <c r="A345" s="464" t="s">
        <v>251</v>
      </c>
      <c r="B345" s="465" t="s">
        <v>310</v>
      </c>
      <c r="C345" s="465"/>
      <c r="D345" s="466">
        <v>199908</v>
      </c>
      <c r="E345" s="467">
        <v>9</v>
      </c>
      <c r="F345" s="376">
        <f t="shared" si="23"/>
        <v>76180</v>
      </c>
      <c r="G345" s="377">
        <f t="shared" si="24"/>
        <v>81492</v>
      </c>
      <c r="H345" s="411">
        <v>55644</v>
      </c>
      <c r="I345" s="412">
        <v>59509</v>
      </c>
      <c r="J345" s="411">
        <v>4942</v>
      </c>
      <c r="K345" s="413">
        <v>2812</v>
      </c>
      <c r="L345" s="414">
        <v>15594</v>
      </c>
      <c r="M345" s="411">
        <v>0</v>
      </c>
      <c r="N345" s="411">
        <v>0</v>
      </c>
      <c r="O345" s="412">
        <v>19171</v>
      </c>
      <c r="P345" s="412">
        <v>0</v>
      </c>
      <c r="Q345" s="413">
        <v>0</v>
      </c>
      <c r="R345" s="381"/>
      <c r="S345" s="390"/>
      <c r="T345" s="383">
        <f t="shared" si="25"/>
        <v>0</v>
      </c>
      <c r="U345" s="384">
        <f t="shared" si="26"/>
        <v>0</v>
      </c>
      <c r="V345" s="388"/>
      <c r="W345" s="389"/>
      <c r="X345" s="391"/>
      <c r="Y345" s="390"/>
      <c r="Z345" s="381"/>
      <c r="AA345" s="388"/>
      <c r="AB345" s="388"/>
      <c r="AC345" s="389"/>
      <c r="AD345" s="389"/>
      <c r="AE345" s="392"/>
      <c r="AF345" s="381"/>
      <c r="AG345" s="389"/>
    </row>
    <row r="346" spans="1:33" s="404" customFormat="1" ht="12.75" customHeight="1">
      <c r="A346" s="464" t="s">
        <v>251</v>
      </c>
      <c r="B346" s="465" t="s">
        <v>311</v>
      </c>
      <c r="C346" s="465"/>
      <c r="D346" s="466">
        <v>199926</v>
      </c>
      <c r="E346" s="467">
        <v>9</v>
      </c>
      <c r="F346" s="376">
        <f t="shared" si="23"/>
        <v>63169</v>
      </c>
      <c r="G346" s="377">
        <f t="shared" si="24"/>
        <v>65818</v>
      </c>
      <c r="H346" s="411">
        <v>51581</v>
      </c>
      <c r="I346" s="412">
        <v>52622</v>
      </c>
      <c r="J346" s="411">
        <v>997</v>
      </c>
      <c r="K346" s="413">
        <v>644</v>
      </c>
      <c r="L346" s="414">
        <v>7156</v>
      </c>
      <c r="M346" s="411">
        <v>3435</v>
      </c>
      <c r="N346" s="411">
        <v>0</v>
      </c>
      <c r="O346" s="412">
        <v>8618</v>
      </c>
      <c r="P346" s="412">
        <v>3934</v>
      </c>
      <c r="Q346" s="413">
        <v>0</v>
      </c>
      <c r="R346" s="381"/>
      <c r="S346" s="390"/>
      <c r="T346" s="383">
        <f t="shared" si="25"/>
        <v>0</v>
      </c>
      <c r="U346" s="384">
        <f t="shared" si="26"/>
        <v>0</v>
      </c>
      <c r="V346" s="388"/>
      <c r="W346" s="389"/>
      <c r="X346" s="391"/>
      <c r="Y346" s="390"/>
      <c r="Z346" s="381"/>
      <c r="AA346" s="388"/>
      <c r="AB346" s="388"/>
      <c r="AC346" s="389"/>
      <c r="AD346" s="389"/>
      <c r="AE346" s="392"/>
      <c r="AF346" s="381"/>
      <c r="AG346" s="389"/>
    </row>
    <row r="347" spans="1:33" s="404" customFormat="1" ht="12.75" customHeight="1">
      <c r="A347" s="464" t="s">
        <v>251</v>
      </c>
      <c r="B347" s="556" t="s">
        <v>312</v>
      </c>
      <c r="C347" s="557" t="s">
        <v>907</v>
      </c>
      <c r="D347" s="466">
        <v>199953</v>
      </c>
      <c r="E347" s="558">
        <v>10</v>
      </c>
      <c r="F347" s="376">
        <f t="shared" si="23"/>
        <v>48240</v>
      </c>
      <c r="G347" s="377">
        <f t="shared" si="24"/>
        <v>51984</v>
      </c>
      <c r="H347" s="411">
        <v>30506</v>
      </c>
      <c r="I347" s="412">
        <v>33436</v>
      </c>
      <c r="J347" s="411">
        <v>2924</v>
      </c>
      <c r="K347" s="413">
        <v>1400</v>
      </c>
      <c r="L347" s="414">
        <v>11214</v>
      </c>
      <c r="M347" s="411">
        <v>0</v>
      </c>
      <c r="N347" s="411">
        <v>3596</v>
      </c>
      <c r="O347" s="412">
        <v>14148</v>
      </c>
      <c r="P347" s="412">
        <v>0</v>
      </c>
      <c r="Q347" s="413">
        <v>3000</v>
      </c>
      <c r="R347" s="381"/>
      <c r="S347" s="390"/>
      <c r="T347" s="383">
        <f t="shared" si="25"/>
        <v>0</v>
      </c>
      <c r="U347" s="384">
        <f t="shared" si="26"/>
        <v>0</v>
      </c>
      <c r="V347" s="388"/>
      <c r="W347" s="389"/>
      <c r="X347" s="391"/>
      <c r="Y347" s="390"/>
      <c r="Z347" s="381"/>
      <c r="AA347" s="388"/>
      <c r="AB347" s="388"/>
      <c r="AC347" s="389"/>
      <c r="AD347" s="389"/>
      <c r="AE347" s="392"/>
      <c r="AF347" s="381"/>
      <c r="AG347" s="389"/>
    </row>
    <row r="348" spans="1:33" s="404" customFormat="1" ht="12.75" customHeight="1">
      <c r="A348" s="468" t="s">
        <v>251</v>
      </c>
      <c r="B348" s="465" t="s">
        <v>313</v>
      </c>
      <c r="C348" s="465"/>
      <c r="D348" s="466">
        <v>197966</v>
      </c>
      <c r="E348" s="467">
        <v>10</v>
      </c>
      <c r="F348" s="376">
        <f t="shared" si="23"/>
        <v>37755</v>
      </c>
      <c r="G348" s="377">
        <f t="shared" si="24"/>
        <v>40002</v>
      </c>
      <c r="H348" s="411">
        <v>27735</v>
      </c>
      <c r="I348" s="412">
        <v>30884</v>
      </c>
      <c r="J348" s="411">
        <v>2569</v>
      </c>
      <c r="K348" s="413">
        <v>1987</v>
      </c>
      <c r="L348" s="414">
        <v>6945</v>
      </c>
      <c r="M348" s="411">
        <v>0</v>
      </c>
      <c r="N348" s="411">
        <v>506</v>
      </c>
      <c r="O348" s="412">
        <v>6788</v>
      </c>
      <c r="P348" s="412">
        <v>0</v>
      </c>
      <c r="Q348" s="413">
        <v>343</v>
      </c>
      <c r="R348" s="381"/>
      <c r="S348" s="390"/>
      <c r="T348" s="383">
        <f t="shared" si="25"/>
        <v>0</v>
      </c>
      <c r="U348" s="384">
        <f t="shared" si="26"/>
        <v>0</v>
      </c>
      <c r="V348" s="388"/>
      <c r="W348" s="389"/>
      <c r="X348" s="391"/>
      <c r="Y348" s="390"/>
      <c r="Z348" s="381"/>
      <c r="AA348" s="388"/>
      <c r="AB348" s="388"/>
      <c r="AC348" s="389"/>
      <c r="AD348" s="389"/>
      <c r="AE348" s="392"/>
      <c r="AF348" s="381"/>
      <c r="AG348" s="389"/>
    </row>
    <row r="349" spans="1:33" s="404" customFormat="1" ht="12.75" customHeight="1">
      <c r="A349" s="464" t="s">
        <v>251</v>
      </c>
      <c r="B349" s="465" t="s">
        <v>314</v>
      </c>
      <c r="C349" s="465"/>
      <c r="D349" s="466">
        <v>198011</v>
      </c>
      <c r="E349" s="467">
        <v>10</v>
      </c>
      <c r="F349" s="376">
        <f t="shared" si="23"/>
        <v>35922</v>
      </c>
      <c r="G349" s="377">
        <f t="shared" si="24"/>
        <v>42382</v>
      </c>
      <c r="H349" s="411">
        <v>21856</v>
      </c>
      <c r="I349" s="412">
        <v>24167</v>
      </c>
      <c r="J349" s="411">
        <v>625</v>
      </c>
      <c r="K349" s="413">
        <v>511</v>
      </c>
      <c r="L349" s="414">
        <v>9297</v>
      </c>
      <c r="M349" s="411">
        <v>1168</v>
      </c>
      <c r="N349" s="411">
        <v>2976</v>
      </c>
      <c r="O349" s="412">
        <v>12674</v>
      </c>
      <c r="P349" s="412">
        <v>2495</v>
      </c>
      <c r="Q349" s="413">
        <v>2535</v>
      </c>
      <c r="R349" s="381"/>
      <c r="S349" s="390"/>
      <c r="T349" s="383">
        <f t="shared" si="25"/>
        <v>0</v>
      </c>
      <c r="U349" s="384">
        <f t="shared" si="26"/>
        <v>0</v>
      </c>
      <c r="V349" s="388"/>
      <c r="W349" s="389"/>
      <c r="X349" s="391"/>
      <c r="Y349" s="390"/>
      <c r="Z349" s="381"/>
      <c r="AA349" s="388"/>
      <c r="AB349" s="388"/>
      <c r="AC349" s="389"/>
      <c r="AD349" s="389"/>
      <c r="AE349" s="392"/>
      <c r="AF349" s="381"/>
      <c r="AG349" s="389"/>
    </row>
    <row r="350" spans="1:33" s="404" customFormat="1" ht="12.75" customHeight="1">
      <c r="A350" s="464" t="s">
        <v>251</v>
      </c>
      <c r="B350" s="465" t="s">
        <v>315</v>
      </c>
      <c r="C350" s="465"/>
      <c r="D350" s="466">
        <v>198084</v>
      </c>
      <c r="E350" s="467">
        <v>10</v>
      </c>
      <c r="F350" s="376">
        <f t="shared" si="23"/>
        <v>30703</v>
      </c>
      <c r="G350" s="377">
        <f t="shared" si="24"/>
        <v>30834</v>
      </c>
      <c r="H350" s="411">
        <v>25853</v>
      </c>
      <c r="I350" s="412">
        <v>24442</v>
      </c>
      <c r="J350" s="411">
        <v>109</v>
      </c>
      <c r="K350" s="413">
        <v>108</v>
      </c>
      <c r="L350" s="414">
        <v>4502</v>
      </c>
      <c r="M350" s="411">
        <v>239</v>
      </c>
      <c r="N350" s="411">
        <v>0</v>
      </c>
      <c r="O350" s="412">
        <v>6131</v>
      </c>
      <c r="P350" s="412">
        <v>153</v>
      </c>
      <c r="Q350" s="413">
        <v>0</v>
      </c>
      <c r="R350" s="381"/>
      <c r="S350" s="390"/>
      <c r="T350" s="383">
        <f t="shared" si="25"/>
        <v>0</v>
      </c>
      <c r="U350" s="384">
        <f t="shared" si="26"/>
        <v>0</v>
      </c>
      <c r="V350" s="388"/>
      <c r="W350" s="389"/>
      <c r="X350" s="391"/>
      <c r="Y350" s="390"/>
      <c r="Z350" s="381"/>
      <c r="AA350" s="388"/>
      <c r="AB350" s="388"/>
      <c r="AC350" s="389"/>
      <c r="AD350" s="389"/>
      <c r="AE350" s="392"/>
      <c r="AF350" s="381"/>
      <c r="AG350" s="389"/>
    </row>
    <row r="351" spans="1:33" s="404" customFormat="1" ht="12.75" customHeight="1">
      <c r="A351" s="464" t="s">
        <v>251</v>
      </c>
      <c r="B351" s="465" t="s">
        <v>316</v>
      </c>
      <c r="C351" s="465"/>
      <c r="D351" s="466">
        <v>198206</v>
      </c>
      <c r="E351" s="467">
        <v>10</v>
      </c>
      <c r="F351" s="376">
        <f t="shared" si="23"/>
        <v>37150</v>
      </c>
      <c r="G351" s="377">
        <f t="shared" si="24"/>
        <v>39825</v>
      </c>
      <c r="H351" s="411">
        <v>25823</v>
      </c>
      <c r="I351" s="412">
        <v>28394</v>
      </c>
      <c r="J351" s="411">
        <v>1878</v>
      </c>
      <c r="K351" s="413">
        <v>1273</v>
      </c>
      <c r="L351" s="414">
        <v>9449</v>
      </c>
      <c r="M351" s="411">
        <v>0</v>
      </c>
      <c r="N351" s="411">
        <v>0</v>
      </c>
      <c r="O351" s="412">
        <v>10158</v>
      </c>
      <c r="P351" s="412">
        <v>0</v>
      </c>
      <c r="Q351" s="413">
        <v>0</v>
      </c>
      <c r="R351" s="381"/>
      <c r="S351" s="390"/>
      <c r="T351" s="383">
        <f t="shared" si="25"/>
        <v>0</v>
      </c>
      <c r="U351" s="384">
        <f t="shared" si="26"/>
        <v>0</v>
      </c>
      <c r="V351" s="388"/>
      <c r="W351" s="389"/>
      <c r="X351" s="391"/>
      <c r="Y351" s="390"/>
      <c r="Z351" s="381"/>
      <c r="AA351" s="388"/>
      <c r="AB351" s="388"/>
      <c r="AC351" s="389"/>
      <c r="AD351" s="389"/>
      <c r="AE351" s="392"/>
      <c r="AF351" s="381"/>
      <c r="AG351" s="389"/>
    </row>
    <row r="352" spans="1:33" s="404" customFormat="1" ht="12.75" customHeight="1">
      <c r="A352" s="464" t="s">
        <v>251</v>
      </c>
      <c r="B352" s="465" t="s">
        <v>317</v>
      </c>
      <c r="C352" s="465"/>
      <c r="D352" s="466">
        <v>198640</v>
      </c>
      <c r="E352" s="467">
        <v>10</v>
      </c>
      <c r="F352" s="376">
        <f t="shared" si="23"/>
        <v>34210</v>
      </c>
      <c r="G352" s="377">
        <f t="shared" si="24"/>
        <v>40188</v>
      </c>
      <c r="H352" s="411">
        <v>24839</v>
      </c>
      <c r="I352" s="412">
        <v>28115</v>
      </c>
      <c r="J352" s="411">
        <v>2925</v>
      </c>
      <c r="K352" s="413">
        <v>3750</v>
      </c>
      <c r="L352" s="414">
        <v>6170</v>
      </c>
      <c r="M352" s="411">
        <v>276</v>
      </c>
      <c r="N352" s="411">
        <v>0</v>
      </c>
      <c r="O352" s="412">
        <v>7897</v>
      </c>
      <c r="P352" s="412">
        <v>426</v>
      </c>
      <c r="Q352" s="413">
        <v>0</v>
      </c>
      <c r="R352" s="381"/>
      <c r="S352" s="390"/>
      <c r="T352" s="383">
        <f t="shared" si="25"/>
        <v>0</v>
      </c>
      <c r="U352" s="384">
        <f t="shared" si="26"/>
        <v>0</v>
      </c>
      <c r="V352" s="388"/>
      <c r="W352" s="389"/>
      <c r="X352" s="391"/>
      <c r="Y352" s="390"/>
      <c r="Z352" s="381"/>
      <c r="AA352" s="388"/>
      <c r="AB352" s="388"/>
      <c r="AC352" s="389"/>
      <c r="AD352" s="389"/>
      <c r="AE352" s="392"/>
      <c r="AF352" s="381"/>
      <c r="AG352" s="389"/>
    </row>
    <row r="353" spans="1:33" s="404" customFormat="1" ht="12.75" customHeight="1">
      <c r="A353" s="464" t="s">
        <v>251</v>
      </c>
      <c r="B353" s="465" t="s">
        <v>318</v>
      </c>
      <c r="C353" s="465"/>
      <c r="D353" s="466">
        <v>198729</v>
      </c>
      <c r="E353" s="467">
        <v>10</v>
      </c>
      <c r="F353" s="376">
        <f t="shared" si="23"/>
        <v>30124</v>
      </c>
      <c r="G353" s="377">
        <f t="shared" si="24"/>
        <v>32854</v>
      </c>
      <c r="H353" s="411">
        <v>22377</v>
      </c>
      <c r="I353" s="412">
        <v>23526</v>
      </c>
      <c r="J353" s="411">
        <v>2838</v>
      </c>
      <c r="K353" s="413">
        <v>2277</v>
      </c>
      <c r="L353" s="414">
        <v>4528</v>
      </c>
      <c r="M353" s="411">
        <v>381</v>
      </c>
      <c r="N353" s="411">
        <v>0</v>
      </c>
      <c r="O353" s="412">
        <v>6502</v>
      </c>
      <c r="P353" s="412">
        <v>549</v>
      </c>
      <c r="Q353" s="413">
        <v>0</v>
      </c>
      <c r="R353" s="381"/>
      <c r="S353" s="390"/>
      <c r="T353" s="383">
        <f t="shared" si="25"/>
        <v>0</v>
      </c>
      <c r="U353" s="384">
        <f t="shared" si="26"/>
        <v>0</v>
      </c>
      <c r="V353" s="388"/>
      <c r="W353" s="389"/>
      <c r="X353" s="391"/>
      <c r="Y353" s="390"/>
      <c r="Z353" s="381"/>
      <c r="AA353" s="388"/>
      <c r="AB353" s="388"/>
      <c r="AC353" s="389"/>
      <c r="AD353" s="389"/>
      <c r="AE353" s="392"/>
      <c r="AF353" s="381"/>
      <c r="AG353" s="389"/>
    </row>
    <row r="354" spans="1:33" s="404" customFormat="1" ht="12.75" customHeight="1">
      <c r="A354" s="464" t="s">
        <v>251</v>
      </c>
      <c r="B354" s="465" t="s">
        <v>319</v>
      </c>
      <c r="C354" s="465"/>
      <c r="D354" s="466">
        <v>198905</v>
      </c>
      <c r="E354" s="467">
        <v>10</v>
      </c>
      <c r="F354" s="376">
        <f t="shared" si="23"/>
        <v>14875</v>
      </c>
      <c r="G354" s="377">
        <f t="shared" si="24"/>
        <v>16268</v>
      </c>
      <c r="H354" s="411">
        <v>10324</v>
      </c>
      <c r="I354" s="412">
        <v>12016</v>
      </c>
      <c r="J354" s="411">
        <v>716</v>
      </c>
      <c r="K354" s="413">
        <v>725</v>
      </c>
      <c r="L354" s="414">
        <v>3700</v>
      </c>
      <c r="M354" s="411">
        <v>135</v>
      </c>
      <c r="N354" s="411">
        <v>0</v>
      </c>
      <c r="O354" s="412">
        <v>3395</v>
      </c>
      <c r="P354" s="412">
        <v>132</v>
      </c>
      <c r="Q354" s="413">
        <v>0</v>
      </c>
      <c r="R354" s="381"/>
      <c r="S354" s="390"/>
      <c r="T354" s="383">
        <f t="shared" si="25"/>
        <v>0</v>
      </c>
      <c r="U354" s="384">
        <f t="shared" si="26"/>
        <v>0</v>
      </c>
      <c r="V354" s="388"/>
      <c r="W354" s="389"/>
      <c r="X354" s="391"/>
      <c r="Y354" s="390"/>
      <c r="Z354" s="381"/>
      <c r="AA354" s="388"/>
      <c r="AB354" s="388"/>
      <c r="AC354" s="389"/>
      <c r="AD354" s="389"/>
      <c r="AE354" s="392"/>
      <c r="AF354" s="381"/>
      <c r="AG354" s="389"/>
    </row>
    <row r="355" spans="1:33" s="404" customFormat="1" ht="12.75" customHeight="1">
      <c r="A355" s="464" t="s">
        <v>251</v>
      </c>
      <c r="B355" s="465" t="s">
        <v>320</v>
      </c>
      <c r="C355" s="465"/>
      <c r="D355" s="466">
        <v>198923</v>
      </c>
      <c r="E355" s="467">
        <v>10</v>
      </c>
      <c r="F355" s="376">
        <f t="shared" si="23"/>
        <v>34022</v>
      </c>
      <c r="G355" s="377">
        <f t="shared" si="24"/>
        <v>36927</v>
      </c>
      <c r="H355" s="411">
        <v>29202</v>
      </c>
      <c r="I355" s="412">
        <v>31461</v>
      </c>
      <c r="J355" s="411">
        <v>2317</v>
      </c>
      <c r="K355" s="413">
        <v>1841</v>
      </c>
      <c r="L355" s="414">
        <v>2095</v>
      </c>
      <c r="M355" s="411">
        <v>216</v>
      </c>
      <c r="N355" s="411">
        <v>192</v>
      </c>
      <c r="O355" s="412">
        <v>3262</v>
      </c>
      <c r="P355" s="412">
        <v>105</v>
      </c>
      <c r="Q355" s="413">
        <v>258</v>
      </c>
      <c r="R355" s="381"/>
      <c r="S355" s="390"/>
      <c r="T355" s="383">
        <f t="shared" si="25"/>
        <v>0</v>
      </c>
      <c r="U355" s="384">
        <f t="shared" si="26"/>
        <v>0</v>
      </c>
      <c r="V355" s="388"/>
      <c r="W355" s="389"/>
      <c r="X355" s="391"/>
      <c r="Y355" s="390"/>
      <c r="Z355" s="381"/>
      <c r="AA355" s="388"/>
      <c r="AB355" s="388"/>
      <c r="AC355" s="389"/>
      <c r="AD355" s="389"/>
      <c r="AE355" s="392"/>
      <c r="AF355" s="381"/>
      <c r="AG355" s="389"/>
    </row>
    <row r="356" spans="1:33" s="404" customFormat="1" ht="12.75" customHeight="1">
      <c r="A356" s="464" t="s">
        <v>251</v>
      </c>
      <c r="B356" s="465" t="s">
        <v>321</v>
      </c>
      <c r="C356" s="465"/>
      <c r="D356" s="466">
        <v>199023</v>
      </c>
      <c r="E356" s="467">
        <v>10</v>
      </c>
      <c r="F356" s="376">
        <f t="shared" si="23"/>
        <v>19887</v>
      </c>
      <c r="G356" s="377">
        <f t="shared" si="24"/>
        <v>19795</v>
      </c>
      <c r="H356" s="411">
        <v>12324</v>
      </c>
      <c r="I356" s="412">
        <v>12895</v>
      </c>
      <c r="J356" s="411">
        <v>2829</v>
      </c>
      <c r="K356" s="413">
        <v>1514</v>
      </c>
      <c r="L356" s="414">
        <v>4212</v>
      </c>
      <c r="M356" s="411">
        <v>522</v>
      </c>
      <c r="N356" s="411">
        <v>0</v>
      </c>
      <c r="O356" s="412">
        <v>5053</v>
      </c>
      <c r="P356" s="412">
        <v>333</v>
      </c>
      <c r="Q356" s="413">
        <v>0</v>
      </c>
      <c r="R356" s="381"/>
      <c r="S356" s="390"/>
      <c r="T356" s="383">
        <f t="shared" si="25"/>
        <v>0</v>
      </c>
      <c r="U356" s="384">
        <f t="shared" si="26"/>
        <v>0</v>
      </c>
      <c r="V356" s="388"/>
      <c r="W356" s="389"/>
      <c r="X356" s="391"/>
      <c r="Y356" s="390"/>
      <c r="Z356" s="381"/>
      <c r="AA356" s="388"/>
      <c r="AB356" s="388"/>
      <c r="AC356" s="389"/>
      <c r="AD356" s="389"/>
      <c r="AE356" s="392"/>
      <c r="AF356" s="381"/>
      <c r="AG356" s="389"/>
    </row>
    <row r="357" spans="1:33" s="404" customFormat="1" ht="12.75" customHeight="1">
      <c r="A357" s="464" t="s">
        <v>251</v>
      </c>
      <c r="B357" s="465" t="s">
        <v>322</v>
      </c>
      <c r="C357" s="465"/>
      <c r="D357" s="466">
        <v>199263</v>
      </c>
      <c r="E357" s="467">
        <v>10</v>
      </c>
      <c r="F357" s="376">
        <f t="shared" si="23"/>
        <v>10851</v>
      </c>
      <c r="G357" s="377">
        <f t="shared" si="24"/>
        <v>12703</v>
      </c>
      <c r="H357" s="411">
        <v>5008</v>
      </c>
      <c r="I357" s="412">
        <v>4921</v>
      </c>
      <c r="J357" s="411">
        <v>3134</v>
      </c>
      <c r="K357" s="413">
        <v>2957</v>
      </c>
      <c r="L357" s="414">
        <v>2688</v>
      </c>
      <c r="M357" s="411">
        <v>21</v>
      </c>
      <c r="N357" s="411">
        <v>0</v>
      </c>
      <c r="O357" s="412">
        <v>4780</v>
      </c>
      <c r="P357" s="412">
        <v>33</v>
      </c>
      <c r="Q357" s="413">
        <v>12</v>
      </c>
      <c r="R357" s="381"/>
      <c r="S357" s="390"/>
      <c r="T357" s="383">
        <f t="shared" si="25"/>
        <v>0</v>
      </c>
      <c r="U357" s="384">
        <f t="shared" si="26"/>
        <v>0</v>
      </c>
      <c r="V357" s="388"/>
      <c r="W357" s="389"/>
      <c r="X357" s="391"/>
      <c r="Y357" s="390"/>
      <c r="Z357" s="381"/>
      <c r="AA357" s="388"/>
      <c r="AB357" s="388"/>
      <c r="AC357" s="389"/>
      <c r="AD357" s="389"/>
      <c r="AE357" s="392"/>
      <c r="AF357" s="381"/>
      <c r="AG357" s="389"/>
    </row>
    <row r="358" spans="1:33" s="404" customFormat="1" ht="12.75" customHeight="1">
      <c r="A358" s="464" t="s">
        <v>251</v>
      </c>
      <c r="B358" s="465" t="s">
        <v>323</v>
      </c>
      <c r="C358" s="465"/>
      <c r="D358" s="466">
        <v>199467</v>
      </c>
      <c r="E358" s="467">
        <v>10</v>
      </c>
      <c r="F358" s="376">
        <f t="shared" si="23"/>
        <v>16351</v>
      </c>
      <c r="G358" s="377">
        <f t="shared" si="24"/>
        <v>17878</v>
      </c>
      <c r="H358" s="411">
        <v>11579</v>
      </c>
      <c r="I358" s="412">
        <v>12966</v>
      </c>
      <c r="J358" s="411">
        <v>1612</v>
      </c>
      <c r="K358" s="413">
        <v>1544</v>
      </c>
      <c r="L358" s="414">
        <v>3106</v>
      </c>
      <c r="M358" s="411">
        <v>54</v>
      </c>
      <c r="N358" s="411">
        <v>0</v>
      </c>
      <c r="O358" s="412">
        <v>3290</v>
      </c>
      <c r="P358" s="412">
        <v>78</v>
      </c>
      <c r="Q358" s="413">
        <v>0</v>
      </c>
      <c r="R358" s="381"/>
      <c r="S358" s="390"/>
      <c r="T358" s="383">
        <f t="shared" si="25"/>
        <v>0</v>
      </c>
      <c r="U358" s="384">
        <f t="shared" si="26"/>
        <v>0</v>
      </c>
      <c r="V358" s="388"/>
      <c r="W358" s="389"/>
      <c r="X358" s="391"/>
      <c r="Y358" s="390"/>
      <c r="Z358" s="381"/>
      <c r="AA358" s="388"/>
      <c r="AB358" s="388"/>
      <c r="AC358" s="389"/>
      <c r="AD358" s="389"/>
      <c r="AE358" s="392"/>
      <c r="AF358" s="381"/>
      <c r="AG358" s="389"/>
    </row>
    <row r="359" spans="1:33" s="404" customFormat="1" ht="12.75" customHeight="1">
      <c r="A359" s="464" t="s">
        <v>251</v>
      </c>
      <c r="B359" s="465" t="s">
        <v>324</v>
      </c>
      <c r="C359" s="465"/>
      <c r="D359" s="466">
        <v>199625</v>
      </c>
      <c r="E359" s="467">
        <v>10</v>
      </c>
      <c r="F359" s="376">
        <f t="shared" si="23"/>
        <v>31436</v>
      </c>
      <c r="G359" s="377">
        <f t="shared" si="24"/>
        <v>33561</v>
      </c>
      <c r="H359" s="411">
        <v>26703</v>
      </c>
      <c r="I359" s="412">
        <v>29268</v>
      </c>
      <c r="J359" s="411">
        <v>1171</v>
      </c>
      <c r="K359" s="413">
        <v>599</v>
      </c>
      <c r="L359" s="414">
        <v>2737</v>
      </c>
      <c r="M359" s="411">
        <v>825</v>
      </c>
      <c r="N359" s="411">
        <v>0</v>
      </c>
      <c r="O359" s="412">
        <v>3043</v>
      </c>
      <c r="P359" s="412">
        <v>651</v>
      </c>
      <c r="Q359" s="413">
        <v>0</v>
      </c>
      <c r="R359" s="381"/>
      <c r="S359" s="390"/>
      <c r="T359" s="383">
        <f t="shared" si="25"/>
        <v>0</v>
      </c>
      <c r="U359" s="384">
        <f t="shared" si="26"/>
        <v>0</v>
      </c>
      <c r="V359" s="388"/>
      <c r="W359" s="389"/>
      <c r="X359" s="391"/>
      <c r="Y359" s="390"/>
      <c r="Z359" s="381"/>
      <c r="AA359" s="388"/>
      <c r="AB359" s="388"/>
      <c r="AC359" s="389"/>
      <c r="AD359" s="389"/>
      <c r="AE359" s="392"/>
      <c r="AF359" s="381"/>
      <c r="AG359" s="389"/>
    </row>
    <row r="360" spans="1:33" s="404" customFormat="1" ht="12.75" customHeight="1">
      <c r="A360" s="464" t="s">
        <v>251</v>
      </c>
      <c r="B360" s="465" t="s">
        <v>325</v>
      </c>
      <c r="C360" s="465"/>
      <c r="D360" s="466">
        <v>199795</v>
      </c>
      <c r="E360" s="467">
        <v>10</v>
      </c>
      <c r="F360" s="376">
        <f t="shared" si="23"/>
        <v>27573</v>
      </c>
      <c r="G360" s="377">
        <f t="shared" si="24"/>
        <v>29859</v>
      </c>
      <c r="H360" s="411">
        <v>18354</v>
      </c>
      <c r="I360" s="412">
        <v>18499</v>
      </c>
      <c r="J360" s="411">
        <v>1220</v>
      </c>
      <c r="K360" s="413">
        <v>1081</v>
      </c>
      <c r="L360" s="414">
        <v>7410</v>
      </c>
      <c r="M360" s="411">
        <v>589</v>
      </c>
      <c r="N360" s="411">
        <v>0</v>
      </c>
      <c r="O360" s="412">
        <v>9760</v>
      </c>
      <c r="P360" s="412">
        <v>519</v>
      </c>
      <c r="Q360" s="413">
        <v>0</v>
      </c>
      <c r="R360" s="381"/>
      <c r="S360" s="390"/>
      <c r="T360" s="383">
        <f t="shared" si="25"/>
        <v>0</v>
      </c>
      <c r="U360" s="384">
        <f t="shared" si="26"/>
        <v>0</v>
      </c>
      <c r="V360" s="388"/>
      <c r="W360" s="389"/>
      <c r="X360" s="391"/>
      <c r="Y360" s="390"/>
      <c r="Z360" s="381"/>
      <c r="AA360" s="388"/>
      <c r="AB360" s="388"/>
      <c r="AC360" s="389"/>
      <c r="AD360" s="389"/>
      <c r="AE360" s="392"/>
      <c r="AF360" s="381"/>
      <c r="AG360" s="389"/>
    </row>
    <row r="361" spans="1:33" s="404" customFormat="1" ht="12.75" customHeight="1">
      <c r="A361" s="473" t="s">
        <v>326</v>
      </c>
      <c r="B361" s="429" t="s">
        <v>327</v>
      </c>
      <c r="C361" s="429"/>
      <c r="D361" s="474">
        <v>207388</v>
      </c>
      <c r="E361" s="475">
        <v>1</v>
      </c>
      <c r="F361" s="376">
        <f t="shared" si="23"/>
        <v>491494</v>
      </c>
      <c r="G361" s="377">
        <f t="shared" si="24"/>
        <v>545364</v>
      </c>
      <c r="H361" s="411">
        <v>468284</v>
      </c>
      <c r="I361" s="412">
        <v>510262</v>
      </c>
      <c r="J361" s="411">
        <v>6</v>
      </c>
      <c r="K361" s="413">
        <v>2027</v>
      </c>
      <c r="L361" s="414">
        <v>20914</v>
      </c>
      <c r="M361" s="411">
        <v>0</v>
      </c>
      <c r="N361" s="411">
        <v>1978</v>
      </c>
      <c r="O361" s="412">
        <v>31771</v>
      </c>
      <c r="P361" s="412">
        <v>3</v>
      </c>
      <c r="Q361" s="413">
        <v>222</v>
      </c>
      <c r="R361" s="381">
        <v>312</v>
      </c>
      <c r="S361" s="390">
        <v>1079</v>
      </c>
      <c r="T361" s="383">
        <f t="shared" si="25"/>
        <v>67975</v>
      </c>
      <c r="U361" s="384">
        <f t="shared" si="26"/>
        <v>75181</v>
      </c>
      <c r="V361" s="388">
        <v>56151</v>
      </c>
      <c r="W361" s="389">
        <v>60781</v>
      </c>
      <c r="X361" s="391">
        <v>21</v>
      </c>
      <c r="Y361" s="390">
        <v>1095</v>
      </c>
      <c r="Z361" s="381">
        <v>9303</v>
      </c>
      <c r="AA361" s="388">
        <v>6</v>
      </c>
      <c r="AB361" s="388">
        <v>2212</v>
      </c>
      <c r="AC361" s="389">
        <v>11886</v>
      </c>
      <c r="AD361" s="389">
        <v>4</v>
      </c>
      <c r="AE361" s="392">
        <v>1093</v>
      </c>
      <c r="AF361" s="381">
        <v>282</v>
      </c>
      <c r="AG361" s="389">
        <v>322</v>
      </c>
    </row>
    <row r="362" spans="1:33" s="404" customFormat="1" ht="12.75" customHeight="1">
      <c r="A362" s="473" t="s">
        <v>326</v>
      </c>
      <c r="B362" s="429" t="s">
        <v>328</v>
      </c>
      <c r="C362" s="429"/>
      <c r="D362" s="474">
        <v>207500</v>
      </c>
      <c r="E362" s="475">
        <v>1</v>
      </c>
      <c r="F362" s="376">
        <f t="shared" si="23"/>
        <v>541043</v>
      </c>
      <c r="G362" s="377">
        <f t="shared" si="24"/>
        <v>527383</v>
      </c>
      <c r="H362" s="411">
        <v>503740</v>
      </c>
      <c r="I362" s="412">
        <v>473507</v>
      </c>
      <c r="J362" s="411">
        <v>905</v>
      </c>
      <c r="K362" s="413">
        <v>2987</v>
      </c>
      <c r="L362" s="414">
        <v>35377</v>
      </c>
      <c r="M362" s="411">
        <v>258</v>
      </c>
      <c r="N362" s="411">
        <v>243</v>
      </c>
      <c r="O362" s="412">
        <v>50077</v>
      </c>
      <c r="P362" s="412">
        <v>156</v>
      </c>
      <c r="Q362" s="413">
        <v>656</v>
      </c>
      <c r="R362" s="381">
        <v>520</v>
      </c>
      <c r="S362" s="390"/>
      <c r="T362" s="383">
        <f t="shared" si="25"/>
        <v>82617</v>
      </c>
      <c r="U362" s="384">
        <f t="shared" si="26"/>
        <v>92405</v>
      </c>
      <c r="V362" s="388">
        <v>62384</v>
      </c>
      <c r="W362" s="389">
        <v>68036</v>
      </c>
      <c r="X362" s="391">
        <v>11864</v>
      </c>
      <c r="Y362" s="390">
        <v>12572</v>
      </c>
      <c r="Z362" s="381">
        <v>7418</v>
      </c>
      <c r="AA362" s="388">
        <v>951</v>
      </c>
      <c r="AB362" s="388"/>
      <c r="AC362" s="389">
        <v>10279</v>
      </c>
      <c r="AD362" s="389">
        <v>225</v>
      </c>
      <c r="AE362" s="392">
        <v>1276</v>
      </c>
      <c r="AF362" s="381"/>
      <c r="AG362" s="389">
        <v>17</v>
      </c>
    </row>
    <row r="363" spans="1:33" s="404" customFormat="1" ht="12.75" customHeight="1">
      <c r="A363" s="473" t="s">
        <v>326</v>
      </c>
      <c r="B363" s="429" t="s">
        <v>329</v>
      </c>
      <c r="C363" s="429"/>
      <c r="D363" s="474">
        <v>207263</v>
      </c>
      <c r="E363" s="475">
        <v>3</v>
      </c>
      <c r="F363" s="376">
        <f t="shared" si="23"/>
        <v>200335</v>
      </c>
      <c r="G363" s="377">
        <f t="shared" si="24"/>
        <v>209439</v>
      </c>
      <c r="H363" s="411">
        <v>173989</v>
      </c>
      <c r="I363" s="412">
        <v>179652</v>
      </c>
      <c r="J363" s="411">
        <v>0</v>
      </c>
      <c r="K363" s="413"/>
      <c r="L363" s="414">
        <v>25639</v>
      </c>
      <c r="M363" s="411">
        <v>707</v>
      </c>
      <c r="N363" s="411"/>
      <c r="O363" s="412">
        <v>28881</v>
      </c>
      <c r="P363" s="412">
        <v>906</v>
      </c>
      <c r="Q363" s="413"/>
      <c r="R363" s="381"/>
      <c r="S363" s="390"/>
      <c r="T363" s="383">
        <f t="shared" si="25"/>
        <v>20039</v>
      </c>
      <c r="U363" s="384">
        <f t="shared" si="26"/>
        <v>20480</v>
      </c>
      <c r="V363" s="388">
        <v>18797</v>
      </c>
      <c r="W363" s="389">
        <v>18998</v>
      </c>
      <c r="X363" s="391">
        <v>0</v>
      </c>
      <c r="Y363" s="390"/>
      <c r="Z363" s="381">
        <v>792</v>
      </c>
      <c r="AA363" s="388">
        <v>450</v>
      </c>
      <c r="AB363" s="388"/>
      <c r="AC363" s="389">
        <v>914</v>
      </c>
      <c r="AD363" s="389">
        <v>568</v>
      </c>
      <c r="AE363" s="392"/>
      <c r="AF363" s="381"/>
      <c r="AG363" s="389"/>
    </row>
    <row r="364" spans="1:33" s="404" customFormat="1" ht="12.75" customHeight="1">
      <c r="A364" s="473" t="s">
        <v>326</v>
      </c>
      <c r="B364" s="429" t="s">
        <v>330</v>
      </c>
      <c r="C364" s="429"/>
      <c r="D364" s="474">
        <v>206941</v>
      </c>
      <c r="E364" s="475">
        <v>3</v>
      </c>
      <c r="F364" s="376">
        <f t="shared" si="23"/>
        <v>340874</v>
      </c>
      <c r="G364" s="377">
        <f t="shared" si="24"/>
        <v>361155</v>
      </c>
      <c r="H364" s="411">
        <v>318949</v>
      </c>
      <c r="I364" s="412">
        <v>342653</v>
      </c>
      <c r="J364" s="411">
        <v>3513</v>
      </c>
      <c r="K364" s="413">
        <v>1931</v>
      </c>
      <c r="L364" s="414">
        <v>14412</v>
      </c>
      <c r="M364" s="411">
        <v>423</v>
      </c>
      <c r="N364" s="411">
        <v>3577</v>
      </c>
      <c r="O364" s="412">
        <v>14554</v>
      </c>
      <c r="P364" s="412">
        <v>219</v>
      </c>
      <c r="Q364" s="413">
        <v>1798</v>
      </c>
      <c r="R364" s="381"/>
      <c r="S364" s="390"/>
      <c r="T364" s="383">
        <f t="shared" si="25"/>
        <v>23841</v>
      </c>
      <c r="U364" s="384">
        <f t="shared" si="26"/>
        <v>27571</v>
      </c>
      <c r="V364" s="388">
        <v>20218</v>
      </c>
      <c r="W364" s="389">
        <v>23434</v>
      </c>
      <c r="X364" s="391">
        <v>802</v>
      </c>
      <c r="Y364" s="390">
        <v>1942</v>
      </c>
      <c r="Z364" s="381">
        <v>1258</v>
      </c>
      <c r="AA364" s="388">
        <v>233</v>
      </c>
      <c r="AB364" s="388">
        <v>1330</v>
      </c>
      <c r="AC364" s="389">
        <v>1002</v>
      </c>
      <c r="AD364" s="389">
        <v>104</v>
      </c>
      <c r="AE364" s="392">
        <v>1089</v>
      </c>
      <c r="AF364" s="381"/>
      <c r="AG364" s="389"/>
    </row>
    <row r="365" spans="1:33" s="404" customFormat="1" ht="12.75" customHeight="1">
      <c r="A365" s="473" t="s">
        <v>326</v>
      </c>
      <c r="B365" s="429" t="s">
        <v>331</v>
      </c>
      <c r="C365" s="429"/>
      <c r="D365" s="474">
        <v>206914</v>
      </c>
      <c r="E365" s="475">
        <v>5</v>
      </c>
      <c r="F365" s="376">
        <f t="shared" si="23"/>
        <v>127416</v>
      </c>
      <c r="G365" s="377">
        <f t="shared" si="24"/>
        <v>138667</v>
      </c>
      <c r="H365" s="411">
        <v>102960</v>
      </c>
      <c r="I365" s="412">
        <v>110587</v>
      </c>
      <c r="J365" s="411">
        <v>0</v>
      </c>
      <c r="K365" s="413">
        <v>1603</v>
      </c>
      <c r="L365" s="414">
        <v>13985</v>
      </c>
      <c r="M365" s="411">
        <v>10471</v>
      </c>
      <c r="N365" s="411"/>
      <c r="O365" s="412">
        <v>17009</v>
      </c>
      <c r="P365" s="412">
        <v>9468</v>
      </c>
      <c r="Q365" s="413"/>
      <c r="R365" s="381"/>
      <c r="S365" s="390"/>
      <c r="T365" s="383">
        <f t="shared" si="25"/>
        <v>6081</v>
      </c>
      <c r="U365" s="384">
        <f t="shared" si="26"/>
        <v>6920</v>
      </c>
      <c r="V365" s="388">
        <v>2964</v>
      </c>
      <c r="W365" s="389">
        <v>3224</v>
      </c>
      <c r="X365" s="391"/>
      <c r="Y365" s="390"/>
      <c r="Z365" s="381">
        <v>2196</v>
      </c>
      <c r="AA365" s="388">
        <v>921</v>
      </c>
      <c r="AB365" s="388"/>
      <c r="AC365" s="389">
        <v>2406</v>
      </c>
      <c r="AD365" s="389">
        <v>1290</v>
      </c>
      <c r="AE365" s="392"/>
      <c r="AF365" s="381"/>
      <c r="AG365" s="389"/>
    </row>
    <row r="366" spans="1:33" s="404" customFormat="1" ht="12.75" customHeight="1">
      <c r="A366" s="473" t="s">
        <v>326</v>
      </c>
      <c r="B366" s="429" t="s">
        <v>332</v>
      </c>
      <c r="C366" s="429"/>
      <c r="D366" s="474">
        <v>207041</v>
      </c>
      <c r="E366" s="475">
        <v>5</v>
      </c>
      <c r="F366" s="376">
        <f t="shared" si="23"/>
        <v>98917</v>
      </c>
      <c r="G366" s="377">
        <f t="shared" si="24"/>
        <v>106266</v>
      </c>
      <c r="H366" s="411">
        <v>83908</v>
      </c>
      <c r="I366" s="412">
        <v>89628</v>
      </c>
      <c r="J366" s="411">
        <v>53</v>
      </c>
      <c r="K366" s="413">
        <v>71</v>
      </c>
      <c r="L366" s="414">
        <v>7126</v>
      </c>
      <c r="M366" s="411">
        <v>2737</v>
      </c>
      <c r="N366" s="411">
        <v>5093</v>
      </c>
      <c r="O366" s="412">
        <v>7854</v>
      </c>
      <c r="P366" s="412">
        <v>3563</v>
      </c>
      <c r="Q366" s="413">
        <v>5150</v>
      </c>
      <c r="R366" s="381"/>
      <c r="S366" s="390"/>
      <c r="T366" s="383">
        <f t="shared" si="25"/>
        <v>14754</v>
      </c>
      <c r="U366" s="384">
        <f t="shared" si="26"/>
        <v>15849</v>
      </c>
      <c r="V366" s="388">
        <v>6452</v>
      </c>
      <c r="W366" s="389">
        <v>5596</v>
      </c>
      <c r="X366" s="391">
        <v>469</v>
      </c>
      <c r="Y366" s="390">
        <v>504</v>
      </c>
      <c r="Z366" s="381">
        <v>5674</v>
      </c>
      <c r="AA366" s="388">
        <v>1412</v>
      </c>
      <c r="AB366" s="388">
        <v>747</v>
      </c>
      <c r="AC366" s="389">
        <v>7742</v>
      </c>
      <c r="AD366" s="389">
        <v>1410</v>
      </c>
      <c r="AE366" s="392">
        <v>597</v>
      </c>
      <c r="AF366" s="381"/>
      <c r="AG366" s="389"/>
    </row>
    <row r="367" spans="1:33" s="404" customFormat="1" ht="12.75" customHeight="1">
      <c r="A367" s="473" t="s">
        <v>326</v>
      </c>
      <c r="B367" s="429" t="s">
        <v>333</v>
      </c>
      <c r="C367" s="429"/>
      <c r="D367" s="474">
        <v>207209</v>
      </c>
      <c r="E367" s="475">
        <v>5</v>
      </c>
      <c r="F367" s="376">
        <f t="shared" si="23"/>
        <v>64795</v>
      </c>
      <c r="G367" s="377">
        <f t="shared" si="24"/>
        <v>62125</v>
      </c>
      <c r="H367" s="411">
        <v>64795</v>
      </c>
      <c r="I367" s="412">
        <v>61293</v>
      </c>
      <c r="J367" s="411">
        <v>0</v>
      </c>
      <c r="K367" s="413"/>
      <c r="L367" s="414"/>
      <c r="M367" s="411"/>
      <c r="N367" s="411"/>
      <c r="O367" s="412">
        <v>322</v>
      </c>
      <c r="P367" s="412">
        <v>510</v>
      </c>
      <c r="Q367" s="413"/>
      <c r="R367" s="381"/>
      <c r="S367" s="390"/>
      <c r="T367" s="383">
        <f t="shared" si="25"/>
        <v>8996</v>
      </c>
      <c r="U367" s="384">
        <f t="shared" si="26"/>
        <v>8632</v>
      </c>
      <c r="V367" s="388">
        <v>8996</v>
      </c>
      <c r="W367" s="389">
        <v>7696</v>
      </c>
      <c r="X367" s="391">
        <v>0</v>
      </c>
      <c r="Y367" s="390"/>
      <c r="Z367" s="381"/>
      <c r="AA367" s="388"/>
      <c r="AB367" s="388"/>
      <c r="AC367" s="389">
        <v>786</v>
      </c>
      <c r="AD367" s="389">
        <v>150</v>
      </c>
      <c r="AE367" s="392"/>
      <c r="AF367" s="381"/>
      <c r="AG367" s="389"/>
    </row>
    <row r="368" spans="1:33" s="404" customFormat="1" ht="12.75" customHeight="1">
      <c r="A368" s="473" t="s">
        <v>326</v>
      </c>
      <c r="B368" s="429" t="s">
        <v>334</v>
      </c>
      <c r="C368" s="429"/>
      <c r="D368" s="474">
        <v>207306</v>
      </c>
      <c r="E368" s="475">
        <v>5</v>
      </c>
      <c r="F368" s="376">
        <f t="shared" si="23"/>
        <v>51212</v>
      </c>
      <c r="G368" s="377">
        <f t="shared" si="24"/>
        <v>53520</v>
      </c>
      <c r="H368" s="411">
        <v>37033</v>
      </c>
      <c r="I368" s="412">
        <v>38882</v>
      </c>
      <c r="J368" s="411">
        <v>102</v>
      </c>
      <c r="K368" s="413">
        <v>162</v>
      </c>
      <c r="L368" s="414">
        <v>4980</v>
      </c>
      <c r="M368" s="411">
        <v>8788</v>
      </c>
      <c r="N368" s="411">
        <v>309</v>
      </c>
      <c r="O368" s="412">
        <v>4947</v>
      </c>
      <c r="P368" s="412">
        <v>9124</v>
      </c>
      <c r="Q368" s="413">
        <v>405</v>
      </c>
      <c r="R368" s="381"/>
      <c r="S368" s="390"/>
      <c r="T368" s="383">
        <f t="shared" si="25"/>
        <v>2866</v>
      </c>
      <c r="U368" s="384">
        <f t="shared" si="26"/>
        <v>2648</v>
      </c>
      <c r="V368" s="388">
        <v>1580</v>
      </c>
      <c r="W368" s="389">
        <v>1443</v>
      </c>
      <c r="X368" s="391"/>
      <c r="Y368" s="390">
        <v>5</v>
      </c>
      <c r="Z368" s="381">
        <v>349</v>
      </c>
      <c r="AA368" s="388">
        <v>937</v>
      </c>
      <c r="AB368" s="388"/>
      <c r="AC368" s="389">
        <v>204</v>
      </c>
      <c r="AD368" s="389">
        <v>996</v>
      </c>
      <c r="AE368" s="392"/>
      <c r="AF368" s="381"/>
      <c r="AG368" s="389"/>
    </row>
    <row r="369" spans="1:33" s="404" customFormat="1" ht="12.75" customHeight="1">
      <c r="A369" s="473" t="s">
        <v>326</v>
      </c>
      <c r="B369" s="429" t="s">
        <v>335</v>
      </c>
      <c r="C369" s="559" t="s">
        <v>820</v>
      </c>
      <c r="D369" s="474">
        <v>207847</v>
      </c>
      <c r="E369" s="475">
        <v>5</v>
      </c>
      <c r="F369" s="376">
        <f t="shared" si="23"/>
        <v>96131</v>
      </c>
      <c r="G369" s="377">
        <f t="shared" si="24"/>
        <v>99728</v>
      </c>
      <c r="H369" s="411">
        <v>69062</v>
      </c>
      <c r="I369" s="412">
        <v>71663</v>
      </c>
      <c r="J369" s="411">
        <v>36</v>
      </c>
      <c r="K369" s="413">
        <v>792</v>
      </c>
      <c r="L369" s="414">
        <v>22579</v>
      </c>
      <c r="M369" s="411">
        <v>4454</v>
      </c>
      <c r="N369" s="411"/>
      <c r="O369" s="412">
        <v>22514</v>
      </c>
      <c r="P369" s="412">
        <v>1831</v>
      </c>
      <c r="Q369" s="413">
        <v>2928</v>
      </c>
      <c r="R369" s="381"/>
      <c r="S369" s="390"/>
      <c r="T369" s="383">
        <f t="shared" si="25"/>
        <v>6234</v>
      </c>
      <c r="U369" s="384">
        <f t="shared" si="26"/>
        <v>5841</v>
      </c>
      <c r="V369" s="388">
        <v>3890</v>
      </c>
      <c r="W369" s="389">
        <v>3549</v>
      </c>
      <c r="X369" s="391">
        <v>45</v>
      </c>
      <c r="Y369" s="390">
        <v>219</v>
      </c>
      <c r="Z369" s="381">
        <v>1462</v>
      </c>
      <c r="AA369" s="388">
        <v>738</v>
      </c>
      <c r="AB369" s="388">
        <v>99</v>
      </c>
      <c r="AC369" s="389">
        <v>1452</v>
      </c>
      <c r="AD369" s="389">
        <v>285</v>
      </c>
      <c r="AE369" s="392">
        <v>336</v>
      </c>
      <c r="AF369" s="381"/>
      <c r="AG369" s="389"/>
    </row>
    <row r="370" spans="1:33" s="404" customFormat="1" ht="12.75" customHeight="1">
      <c r="A370" s="473" t="s">
        <v>326</v>
      </c>
      <c r="B370" s="429" t="s">
        <v>336</v>
      </c>
      <c r="C370" s="429"/>
      <c r="D370" s="474">
        <v>207865</v>
      </c>
      <c r="E370" s="475">
        <v>5</v>
      </c>
      <c r="F370" s="376">
        <f t="shared" si="23"/>
        <v>118141</v>
      </c>
      <c r="G370" s="377">
        <f t="shared" si="24"/>
        <v>124302</v>
      </c>
      <c r="H370" s="411">
        <v>109577</v>
      </c>
      <c r="I370" s="412">
        <v>112608</v>
      </c>
      <c r="J370" s="411">
        <v>1153</v>
      </c>
      <c r="K370" s="413">
        <v>1283</v>
      </c>
      <c r="L370" s="414">
        <v>4198</v>
      </c>
      <c r="M370" s="411">
        <v>2094</v>
      </c>
      <c r="N370" s="411">
        <v>1119</v>
      </c>
      <c r="O370" s="412">
        <v>7054</v>
      </c>
      <c r="P370" s="412">
        <v>1788</v>
      </c>
      <c r="Q370" s="413">
        <v>1569</v>
      </c>
      <c r="R370" s="381"/>
      <c r="S370" s="390"/>
      <c r="T370" s="383">
        <f t="shared" si="25"/>
        <v>11958</v>
      </c>
      <c r="U370" s="384">
        <f t="shared" si="26"/>
        <v>13777</v>
      </c>
      <c r="V370" s="388">
        <v>8158</v>
      </c>
      <c r="W370" s="389">
        <v>8852</v>
      </c>
      <c r="X370" s="391"/>
      <c r="Y370" s="390"/>
      <c r="Z370" s="381">
        <v>458</v>
      </c>
      <c r="AA370" s="388">
        <v>3339</v>
      </c>
      <c r="AB370" s="388">
        <v>3</v>
      </c>
      <c r="AC370" s="389">
        <v>1415</v>
      </c>
      <c r="AD370" s="389">
        <v>3510</v>
      </c>
      <c r="AE370" s="392"/>
      <c r="AF370" s="381"/>
      <c r="AG370" s="389"/>
    </row>
    <row r="371" spans="1:33" s="404" customFormat="1" ht="12.75" customHeight="1">
      <c r="A371" s="473" t="s">
        <v>326</v>
      </c>
      <c r="B371" s="429" t="s">
        <v>337</v>
      </c>
      <c r="C371" s="429"/>
      <c r="D371" s="474">
        <v>207351</v>
      </c>
      <c r="E371" s="475">
        <v>6</v>
      </c>
      <c r="F371" s="376">
        <f t="shared" si="23"/>
        <v>33589</v>
      </c>
      <c r="G371" s="377">
        <f t="shared" si="24"/>
        <v>37412</v>
      </c>
      <c r="H371" s="411">
        <v>28405</v>
      </c>
      <c r="I371" s="412">
        <v>31053</v>
      </c>
      <c r="J371" s="411"/>
      <c r="K371" s="413"/>
      <c r="L371" s="414">
        <v>4977</v>
      </c>
      <c r="M371" s="411">
        <v>207</v>
      </c>
      <c r="N371" s="411"/>
      <c r="O371" s="412">
        <v>6131</v>
      </c>
      <c r="P371" s="412">
        <v>228</v>
      </c>
      <c r="Q371" s="413"/>
      <c r="R371" s="381"/>
      <c r="S371" s="390"/>
      <c r="T371" s="383">
        <f t="shared" si="25"/>
        <v>0</v>
      </c>
      <c r="U371" s="384">
        <f t="shared" si="26"/>
        <v>0</v>
      </c>
      <c r="V371" s="388"/>
      <c r="W371" s="389"/>
      <c r="X371" s="391"/>
      <c r="Y371" s="390"/>
      <c r="Z371" s="381"/>
      <c r="AA371" s="388"/>
      <c r="AB371" s="388"/>
      <c r="AC371" s="389"/>
      <c r="AD371" s="389"/>
      <c r="AE371" s="392"/>
      <c r="AF371" s="381"/>
      <c r="AG371" s="389"/>
    </row>
    <row r="372" spans="1:33" s="404" customFormat="1" ht="12.75" customHeight="1">
      <c r="A372" s="431" t="s">
        <v>326</v>
      </c>
      <c r="B372" s="476" t="s">
        <v>338</v>
      </c>
      <c r="C372" s="476"/>
      <c r="D372" s="477">
        <v>207661</v>
      </c>
      <c r="E372" s="478">
        <v>6</v>
      </c>
      <c r="F372" s="376">
        <f t="shared" si="23"/>
        <v>91805</v>
      </c>
      <c r="G372" s="377">
        <f t="shared" si="24"/>
        <v>100335</v>
      </c>
      <c r="H372" s="411">
        <v>61739</v>
      </c>
      <c r="I372" s="412">
        <v>68677</v>
      </c>
      <c r="J372" s="411">
        <v>1271</v>
      </c>
      <c r="K372" s="413">
        <v>2541</v>
      </c>
      <c r="L372" s="414">
        <v>24175</v>
      </c>
      <c r="M372" s="411">
        <v>4072</v>
      </c>
      <c r="N372" s="411">
        <v>548</v>
      </c>
      <c r="O372" s="412">
        <v>26138</v>
      </c>
      <c r="P372" s="412">
        <v>2979</v>
      </c>
      <c r="Q372" s="413"/>
      <c r="R372" s="381"/>
      <c r="S372" s="390"/>
      <c r="T372" s="383">
        <f t="shared" si="25"/>
        <v>0</v>
      </c>
      <c r="U372" s="384">
        <f t="shared" si="26"/>
        <v>0</v>
      </c>
      <c r="V372" s="388"/>
      <c r="W372" s="389"/>
      <c r="X372" s="391"/>
      <c r="Y372" s="390"/>
      <c r="Z372" s="381"/>
      <c r="AA372" s="388"/>
      <c r="AB372" s="388"/>
      <c r="AC372" s="389"/>
      <c r="AD372" s="389"/>
      <c r="AE372" s="392"/>
      <c r="AF372" s="381"/>
      <c r="AG372" s="389"/>
    </row>
    <row r="373" spans="1:33" s="404" customFormat="1" ht="12.75" customHeight="1">
      <c r="A373" s="473" t="s">
        <v>326</v>
      </c>
      <c r="B373" s="429" t="s">
        <v>339</v>
      </c>
      <c r="C373" s="429"/>
      <c r="D373" s="474">
        <v>207722</v>
      </c>
      <c r="E373" s="475">
        <v>6</v>
      </c>
      <c r="F373" s="376">
        <f t="shared" si="23"/>
        <v>31435</v>
      </c>
      <c r="G373" s="377">
        <f t="shared" si="24"/>
        <v>31198</v>
      </c>
      <c r="H373" s="411">
        <v>31292</v>
      </c>
      <c r="I373" s="412">
        <v>31086</v>
      </c>
      <c r="J373" s="411">
        <v>143</v>
      </c>
      <c r="K373" s="413">
        <v>112</v>
      </c>
      <c r="L373" s="414"/>
      <c r="M373" s="411"/>
      <c r="N373" s="411"/>
      <c r="O373" s="412"/>
      <c r="P373" s="412"/>
      <c r="Q373" s="413"/>
      <c r="R373" s="381"/>
      <c r="S373" s="390"/>
      <c r="T373" s="383">
        <f t="shared" si="25"/>
        <v>0</v>
      </c>
      <c r="U373" s="384">
        <f t="shared" si="26"/>
        <v>0</v>
      </c>
      <c r="V373" s="388"/>
      <c r="W373" s="389"/>
      <c r="X373" s="391"/>
      <c r="Y373" s="390"/>
      <c r="Z373" s="381"/>
      <c r="AA373" s="388"/>
      <c r="AB373" s="388"/>
      <c r="AC373" s="389"/>
      <c r="AD373" s="389"/>
      <c r="AE373" s="392"/>
      <c r="AF373" s="381"/>
      <c r="AG373" s="389"/>
    </row>
    <row r="374" spans="1:33" s="404" customFormat="1" ht="12.75" customHeight="1">
      <c r="A374" s="431" t="s">
        <v>326</v>
      </c>
      <c r="B374" s="429" t="s">
        <v>340</v>
      </c>
      <c r="C374" s="429"/>
      <c r="D374" s="474">
        <v>207564</v>
      </c>
      <c r="E374" s="475">
        <v>7</v>
      </c>
      <c r="F374" s="376">
        <f t="shared" si="23"/>
        <v>98559</v>
      </c>
      <c r="G374" s="377">
        <f t="shared" si="24"/>
        <v>96782</v>
      </c>
      <c r="H374" s="411">
        <v>77757</v>
      </c>
      <c r="I374" s="412">
        <v>78449</v>
      </c>
      <c r="J374" s="411">
        <v>20802</v>
      </c>
      <c r="K374" s="413">
        <v>12372</v>
      </c>
      <c r="L374" s="414"/>
      <c r="M374" s="411"/>
      <c r="N374" s="411"/>
      <c r="O374" s="412">
        <v>5961</v>
      </c>
      <c r="P374" s="412"/>
      <c r="Q374" s="413"/>
      <c r="R374" s="381"/>
      <c r="S374" s="390"/>
      <c r="T374" s="383">
        <f t="shared" si="25"/>
        <v>0</v>
      </c>
      <c r="U374" s="384">
        <f t="shared" si="26"/>
        <v>0</v>
      </c>
      <c r="V374" s="388"/>
      <c r="W374" s="389"/>
      <c r="X374" s="391"/>
      <c r="Y374" s="390"/>
      <c r="Z374" s="381"/>
      <c r="AA374" s="388"/>
      <c r="AB374" s="388"/>
      <c r="AC374" s="389"/>
      <c r="AD374" s="389"/>
      <c r="AE374" s="392"/>
      <c r="AF374" s="381"/>
      <c r="AG374" s="389"/>
    </row>
    <row r="375" spans="1:33" s="404" customFormat="1" ht="12.75" customHeight="1">
      <c r="A375" s="473" t="s">
        <v>326</v>
      </c>
      <c r="B375" s="438" t="s">
        <v>341</v>
      </c>
      <c r="C375" s="438"/>
      <c r="D375" s="474">
        <v>207449</v>
      </c>
      <c r="E375" s="475">
        <v>8</v>
      </c>
      <c r="F375" s="376">
        <f t="shared" si="23"/>
        <v>264844</v>
      </c>
      <c r="G375" s="377">
        <f t="shared" si="24"/>
        <v>291030</v>
      </c>
      <c r="H375" s="411">
        <v>192597</v>
      </c>
      <c r="I375" s="412">
        <v>213599</v>
      </c>
      <c r="J375" s="411">
        <v>22075</v>
      </c>
      <c r="K375" s="413">
        <v>19210</v>
      </c>
      <c r="L375" s="414">
        <v>37898</v>
      </c>
      <c r="M375" s="411">
        <v>0</v>
      </c>
      <c r="N375" s="411">
        <v>128</v>
      </c>
      <c r="O375" s="412">
        <v>42507</v>
      </c>
      <c r="P375" s="412"/>
      <c r="Q375" s="413">
        <v>96</v>
      </c>
      <c r="R375" s="381">
        <v>12146</v>
      </c>
      <c r="S375" s="390">
        <v>15618</v>
      </c>
      <c r="T375" s="383">
        <f t="shared" si="25"/>
        <v>0</v>
      </c>
      <c r="U375" s="384">
        <f t="shared" si="26"/>
        <v>0</v>
      </c>
      <c r="V375" s="388"/>
      <c r="W375" s="389"/>
      <c r="X375" s="391"/>
      <c r="Y375" s="390"/>
      <c r="Z375" s="381"/>
      <c r="AA375" s="388"/>
      <c r="AB375" s="388"/>
      <c r="AC375" s="389"/>
      <c r="AD375" s="389"/>
      <c r="AE375" s="392"/>
      <c r="AF375" s="381"/>
      <c r="AG375" s="389"/>
    </row>
    <row r="376" spans="1:33" s="404" customFormat="1" ht="12.75" customHeight="1">
      <c r="A376" s="473" t="s">
        <v>326</v>
      </c>
      <c r="B376" s="429" t="s">
        <v>342</v>
      </c>
      <c r="C376" s="429"/>
      <c r="D376" s="474">
        <v>207935</v>
      </c>
      <c r="E376" s="475">
        <v>8</v>
      </c>
      <c r="F376" s="376">
        <f t="shared" si="23"/>
        <v>374850</v>
      </c>
      <c r="G376" s="377">
        <f t="shared" si="24"/>
        <v>355979</v>
      </c>
      <c r="H376" s="411">
        <v>280242</v>
      </c>
      <c r="I376" s="412">
        <v>275136</v>
      </c>
      <c r="J376" s="411">
        <v>13694</v>
      </c>
      <c r="K376" s="413">
        <v>11756</v>
      </c>
      <c r="L376" s="414">
        <v>78846</v>
      </c>
      <c r="M376" s="411">
        <v>249</v>
      </c>
      <c r="N376" s="411">
        <v>1819</v>
      </c>
      <c r="O376" s="412">
        <v>69087</v>
      </c>
      <c r="P376" s="412"/>
      <c r="Q376" s="413"/>
      <c r="R376" s="381"/>
      <c r="S376" s="390"/>
      <c r="T376" s="383">
        <f t="shared" si="25"/>
        <v>0</v>
      </c>
      <c r="U376" s="384">
        <f t="shared" si="26"/>
        <v>0</v>
      </c>
      <c r="V376" s="388"/>
      <c r="W376" s="389"/>
      <c r="X376" s="391"/>
      <c r="Y376" s="390"/>
      <c r="Z376" s="381"/>
      <c r="AA376" s="388"/>
      <c r="AB376" s="388"/>
      <c r="AC376" s="389"/>
      <c r="AD376" s="389"/>
      <c r="AE376" s="392"/>
      <c r="AF376" s="381"/>
      <c r="AG376" s="389"/>
    </row>
    <row r="377" spans="1:33" s="404" customFormat="1" ht="12.75" customHeight="1">
      <c r="A377" s="473" t="s">
        <v>326</v>
      </c>
      <c r="B377" s="438" t="s">
        <v>343</v>
      </c>
      <c r="C377" s="438"/>
      <c r="D377" s="474">
        <v>207281</v>
      </c>
      <c r="E377" s="475">
        <v>9</v>
      </c>
      <c r="F377" s="376">
        <f t="shared" si="23"/>
        <v>105661</v>
      </c>
      <c r="G377" s="377">
        <f t="shared" si="24"/>
        <v>112504</v>
      </c>
      <c r="H377" s="411">
        <v>79947</v>
      </c>
      <c r="I377" s="412">
        <v>78870</v>
      </c>
      <c r="J377" s="411">
        <v>7485</v>
      </c>
      <c r="K377" s="413">
        <v>9044</v>
      </c>
      <c r="L377" s="414">
        <v>5635</v>
      </c>
      <c r="M377" s="411">
        <v>11305</v>
      </c>
      <c r="N377" s="411">
        <v>102</v>
      </c>
      <c r="O377" s="412">
        <v>8935</v>
      </c>
      <c r="P377" s="412">
        <v>15208</v>
      </c>
      <c r="Q377" s="413">
        <v>363</v>
      </c>
      <c r="R377" s="381">
        <v>1187</v>
      </c>
      <c r="S377" s="390">
        <v>84</v>
      </c>
      <c r="T377" s="383">
        <f t="shared" si="25"/>
        <v>0</v>
      </c>
      <c r="U377" s="384">
        <f t="shared" si="26"/>
        <v>0</v>
      </c>
      <c r="V377" s="388"/>
      <c r="W377" s="389"/>
      <c r="X377" s="391"/>
      <c r="Y377" s="390"/>
      <c r="Z377" s="381"/>
      <c r="AA377" s="388"/>
      <c r="AB377" s="388"/>
      <c r="AC377" s="389"/>
      <c r="AD377" s="389"/>
      <c r="AE377" s="392"/>
      <c r="AF377" s="381"/>
      <c r="AG377" s="389"/>
    </row>
    <row r="378" spans="1:33" s="404" customFormat="1" ht="12.75" customHeight="1">
      <c r="A378" s="473" t="s">
        <v>326</v>
      </c>
      <c r="B378" s="429" t="s">
        <v>344</v>
      </c>
      <c r="C378" s="429"/>
      <c r="D378" s="474">
        <v>207397</v>
      </c>
      <c r="E378" s="475">
        <v>9</v>
      </c>
      <c r="F378" s="376">
        <f t="shared" si="23"/>
        <v>130851</v>
      </c>
      <c r="G378" s="377">
        <f t="shared" si="24"/>
        <v>159604</v>
      </c>
      <c r="H378" s="411">
        <v>92801</v>
      </c>
      <c r="I378" s="412">
        <v>108255</v>
      </c>
      <c r="J378" s="411"/>
      <c r="K378" s="413">
        <v>1945</v>
      </c>
      <c r="L378" s="414">
        <v>32617</v>
      </c>
      <c r="M378" s="411">
        <v>0</v>
      </c>
      <c r="N378" s="411">
        <v>5433</v>
      </c>
      <c r="O378" s="412">
        <v>43192</v>
      </c>
      <c r="P378" s="412">
        <v>3256</v>
      </c>
      <c r="Q378" s="413">
        <v>2956</v>
      </c>
      <c r="R378" s="381"/>
      <c r="S378" s="390"/>
      <c r="T378" s="383">
        <f t="shared" si="25"/>
        <v>0</v>
      </c>
      <c r="U378" s="384">
        <f t="shared" si="26"/>
        <v>0</v>
      </c>
      <c r="V378" s="388"/>
      <c r="W378" s="389"/>
      <c r="X378" s="391"/>
      <c r="Y378" s="390"/>
      <c r="Z378" s="381"/>
      <c r="AA378" s="388"/>
      <c r="AB378" s="388"/>
      <c r="AC378" s="389"/>
      <c r="AD378" s="389"/>
      <c r="AE378" s="392"/>
      <c r="AF378" s="381"/>
      <c r="AG378" s="389"/>
    </row>
    <row r="379" spans="1:33" s="404" customFormat="1" ht="12.75" customHeight="1">
      <c r="A379" s="473" t="s">
        <v>326</v>
      </c>
      <c r="B379" s="429" t="s">
        <v>345</v>
      </c>
      <c r="C379" s="429"/>
      <c r="D379" s="474">
        <v>207670</v>
      </c>
      <c r="E379" s="475">
        <v>9</v>
      </c>
      <c r="F379" s="376">
        <f t="shared" si="23"/>
        <v>150857</v>
      </c>
      <c r="G379" s="377">
        <f t="shared" si="24"/>
        <v>167587</v>
      </c>
      <c r="H379" s="411">
        <v>112770</v>
      </c>
      <c r="I379" s="412">
        <v>124708</v>
      </c>
      <c r="J379" s="411">
        <v>8904</v>
      </c>
      <c r="K379" s="413">
        <v>9862</v>
      </c>
      <c r="L379" s="414">
        <v>25696</v>
      </c>
      <c r="M379" s="411">
        <v>162</v>
      </c>
      <c r="N379" s="411">
        <v>3325</v>
      </c>
      <c r="O379" s="412">
        <v>29544</v>
      </c>
      <c r="P379" s="412">
        <v>404</v>
      </c>
      <c r="Q379" s="413">
        <v>3069</v>
      </c>
      <c r="R379" s="381"/>
      <c r="S379" s="390"/>
      <c r="T379" s="383">
        <f t="shared" si="25"/>
        <v>0</v>
      </c>
      <c r="U379" s="384">
        <f t="shared" si="26"/>
        <v>0</v>
      </c>
      <c r="V379" s="388"/>
      <c r="W379" s="389"/>
      <c r="X379" s="391"/>
      <c r="Y379" s="390"/>
      <c r="Z379" s="381"/>
      <c r="AA379" s="388"/>
      <c r="AB379" s="388"/>
      <c r="AC379" s="389"/>
      <c r="AD379" s="389"/>
      <c r="AE379" s="392"/>
      <c r="AF379" s="381"/>
      <c r="AG379" s="389"/>
    </row>
    <row r="380" spans="1:33" s="404" customFormat="1" ht="12.75" customHeight="1">
      <c r="A380" s="473" t="s">
        <v>326</v>
      </c>
      <c r="B380" s="429" t="s">
        <v>346</v>
      </c>
      <c r="C380" s="429"/>
      <c r="D380" s="474">
        <v>206923</v>
      </c>
      <c r="E380" s="475">
        <v>10</v>
      </c>
      <c r="F380" s="376">
        <f t="shared" si="23"/>
        <v>57326</v>
      </c>
      <c r="G380" s="377">
        <f t="shared" si="24"/>
        <v>65407</v>
      </c>
      <c r="H380" s="411">
        <v>44738</v>
      </c>
      <c r="I380" s="412">
        <v>25901</v>
      </c>
      <c r="J380" s="411">
        <v>26</v>
      </c>
      <c r="K380" s="413">
        <v>31</v>
      </c>
      <c r="L380" s="414">
        <v>12166</v>
      </c>
      <c r="M380" s="411">
        <v>396</v>
      </c>
      <c r="N380" s="411"/>
      <c r="O380" s="412">
        <v>14695</v>
      </c>
      <c r="P380" s="412">
        <v>423</v>
      </c>
      <c r="Q380" s="413">
        <v>24357</v>
      </c>
      <c r="R380" s="381"/>
      <c r="S380" s="390"/>
      <c r="T380" s="383">
        <f t="shared" si="25"/>
        <v>0</v>
      </c>
      <c r="U380" s="384">
        <f t="shared" si="26"/>
        <v>0</v>
      </c>
      <c r="V380" s="388"/>
      <c r="W380" s="389"/>
      <c r="X380" s="391"/>
      <c r="Y380" s="390"/>
      <c r="Z380" s="381"/>
      <c r="AA380" s="388"/>
      <c r="AB380" s="388"/>
      <c r="AC380" s="389"/>
      <c r="AD380" s="389"/>
      <c r="AE380" s="392"/>
      <c r="AF380" s="381"/>
      <c r="AG380" s="389"/>
    </row>
    <row r="381" spans="1:33" s="404" customFormat="1" ht="12.75" customHeight="1">
      <c r="A381" s="473" t="s">
        <v>326</v>
      </c>
      <c r="B381" s="429" t="s">
        <v>347</v>
      </c>
      <c r="C381" s="429"/>
      <c r="D381" s="474">
        <v>206996</v>
      </c>
      <c r="E381" s="475">
        <v>10</v>
      </c>
      <c r="F381" s="376">
        <f t="shared" si="23"/>
        <v>50750</v>
      </c>
      <c r="G381" s="377">
        <f t="shared" si="24"/>
        <v>57524</v>
      </c>
      <c r="H381" s="411">
        <v>31478</v>
      </c>
      <c r="I381" s="412">
        <v>38883</v>
      </c>
      <c r="J381" s="411">
        <v>8244</v>
      </c>
      <c r="K381" s="413">
        <v>8563</v>
      </c>
      <c r="L381" s="414">
        <v>5312</v>
      </c>
      <c r="M381" s="411">
        <v>5716</v>
      </c>
      <c r="N381" s="411"/>
      <c r="O381" s="412">
        <v>4308</v>
      </c>
      <c r="P381" s="412">
        <v>5770</v>
      </c>
      <c r="Q381" s="413"/>
      <c r="R381" s="381"/>
      <c r="S381" s="390"/>
      <c r="T381" s="383">
        <f t="shared" si="25"/>
        <v>0</v>
      </c>
      <c r="U381" s="384">
        <f t="shared" si="26"/>
        <v>0</v>
      </c>
      <c r="V381" s="388"/>
      <c r="W381" s="389"/>
      <c r="X381" s="391"/>
      <c r="Y381" s="390"/>
      <c r="Z381" s="381"/>
      <c r="AA381" s="388"/>
      <c r="AB381" s="388"/>
      <c r="AC381" s="389"/>
      <c r="AD381" s="389"/>
      <c r="AE381" s="392"/>
      <c r="AF381" s="381"/>
      <c r="AG381" s="389"/>
    </row>
    <row r="382" spans="1:33" s="404" customFormat="1" ht="12.75" customHeight="1">
      <c r="A382" s="473" t="s">
        <v>326</v>
      </c>
      <c r="B382" s="429" t="s">
        <v>348</v>
      </c>
      <c r="C382" s="429"/>
      <c r="D382" s="474">
        <v>207050</v>
      </c>
      <c r="E382" s="475">
        <v>10</v>
      </c>
      <c r="F382" s="376">
        <f t="shared" si="23"/>
        <v>43058</v>
      </c>
      <c r="G382" s="377">
        <f t="shared" si="24"/>
        <v>46267</v>
      </c>
      <c r="H382" s="411">
        <v>31738</v>
      </c>
      <c r="I382" s="412">
        <v>33941</v>
      </c>
      <c r="J382" s="411">
        <v>3858</v>
      </c>
      <c r="K382" s="413">
        <v>3516</v>
      </c>
      <c r="L382" s="414">
        <v>5164</v>
      </c>
      <c r="M382" s="411">
        <v>2298</v>
      </c>
      <c r="N382" s="411"/>
      <c r="O382" s="412">
        <v>5352</v>
      </c>
      <c r="P382" s="412">
        <v>3458</v>
      </c>
      <c r="Q382" s="413"/>
      <c r="R382" s="381"/>
      <c r="S382" s="390"/>
      <c r="T382" s="383">
        <f t="shared" si="25"/>
        <v>0</v>
      </c>
      <c r="U382" s="384">
        <f t="shared" si="26"/>
        <v>0</v>
      </c>
      <c r="V382" s="388"/>
      <c r="W382" s="389"/>
      <c r="X382" s="391"/>
      <c r="Y382" s="390"/>
      <c r="Z382" s="381"/>
      <c r="AA382" s="388"/>
      <c r="AB382" s="388"/>
      <c r="AC382" s="389"/>
      <c r="AD382" s="389"/>
      <c r="AE382" s="392"/>
      <c r="AF382" s="381"/>
      <c r="AG382" s="389"/>
    </row>
    <row r="383" spans="1:33" s="404" customFormat="1" ht="12.75" customHeight="1">
      <c r="A383" s="473" t="s">
        <v>326</v>
      </c>
      <c r="B383" s="429" t="s">
        <v>349</v>
      </c>
      <c r="C383" s="429"/>
      <c r="D383" s="474">
        <v>207236</v>
      </c>
      <c r="E383" s="475">
        <v>10</v>
      </c>
      <c r="F383" s="376">
        <f t="shared" si="23"/>
        <v>53094</v>
      </c>
      <c r="G383" s="377">
        <f t="shared" si="24"/>
        <v>60760</v>
      </c>
      <c r="H383" s="411">
        <v>36706</v>
      </c>
      <c r="I383" s="412">
        <v>40625</v>
      </c>
      <c r="J383" s="411">
        <v>621</v>
      </c>
      <c r="K383" s="413">
        <v>2380</v>
      </c>
      <c r="L383" s="414">
        <v>10405</v>
      </c>
      <c r="M383" s="411">
        <v>5362</v>
      </c>
      <c r="N383" s="411"/>
      <c r="O383" s="412">
        <v>10403</v>
      </c>
      <c r="P383" s="412">
        <v>7352</v>
      </c>
      <c r="Q383" s="413"/>
      <c r="R383" s="381"/>
      <c r="S383" s="390"/>
      <c r="T383" s="383">
        <f t="shared" si="25"/>
        <v>0</v>
      </c>
      <c r="U383" s="384">
        <f t="shared" si="26"/>
        <v>0</v>
      </c>
      <c r="V383" s="388"/>
      <c r="W383" s="389"/>
      <c r="X383" s="391"/>
      <c r="Y383" s="390"/>
      <c r="Z383" s="381"/>
      <c r="AA383" s="388"/>
      <c r="AB383" s="388"/>
      <c r="AC383" s="389"/>
      <c r="AD383" s="389"/>
      <c r="AE383" s="392"/>
      <c r="AF383" s="381"/>
      <c r="AG383" s="389"/>
    </row>
    <row r="384" spans="1:33" s="404" customFormat="1" ht="12.75" customHeight="1">
      <c r="A384" s="473" t="s">
        <v>326</v>
      </c>
      <c r="B384" s="429" t="s">
        <v>350</v>
      </c>
      <c r="C384" s="429"/>
      <c r="D384" s="474">
        <v>207290</v>
      </c>
      <c r="E384" s="475">
        <v>10</v>
      </c>
      <c r="F384" s="376">
        <f t="shared" si="23"/>
        <v>51826</v>
      </c>
      <c r="G384" s="377">
        <f t="shared" si="24"/>
        <v>58870</v>
      </c>
      <c r="H384" s="411">
        <v>42442</v>
      </c>
      <c r="I384" s="412">
        <v>47185</v>
      </c>
      <c r="J384" s="411">
        <v>989</v>
      </c>
      <c r="K384" s="413">
        <v>1383</v>
      </c>
      <c r="L384" s="414">
        <v>7144</v>
      </c>
      <c r="M384" s="411">
        <v>1251</v>
      </c>
      <c r="N384" s="411"/>
      <c r="O384" s="412">
        <v>8689</v>
      </c>
      <c r="P384" s="412">
        <v>1613</v>
      </c>
      <c r="Q384" s="413"/>
      <c r="R384" s="381"/>
      <c r="S384" s="390"/>
      <c r="T384" s="383">
        <f t="shared" si="25"/>
        <v>0</v>
      </c>
      <c r="U384" s="384">
        <f t="shared" si="26"/>
        <v>0</v>
      </c>
      <c r="V384" s="388"/>
      <c r="W384" s="389"/>
      <c r="X384" s="391"/>
      <c r="Y384" s="390"/>
      <c r="Z384" s="381"/>
      <c r="AA384" s="388"/>
      <c r="AB384" s="388"/>
      <c r="AC384" s="389"/>
      <c r="AD384" s="389"/>
      <c r="AE384" s="392"/>
      <c r="AF384" s="381"/>
      <c r="AG384" s="389"/>
    </row>
    <row r="385" spans="1:33" s="404" customFormat="1" ht="12.75" customHeight="1">
      <c r="A385" s="473" t="s">
        <v>326</v>
      </c>
      <c r="B385" s="429" t="s">
        <v>351</v>
      </c>
      <c r="C385" s="429"/>
      <c r="D385" s="474">
        <v>207069</v>
      </c>
      <c r="E385" s="475">
        <v>10</v>
      </c>
      <c r="F385" s="376">
        <f t="shared" si="23"/>
        <v>43612</v>
      </c>
      <c r="G385" s="377">
        <f t="shared" si="24"/>
        <v>49593</v>
      </c>
      <c r="H385" s="411">
        <v>23497</v>
      </c>
      <c r="I385" s="412">
        <v>27215</v>
      </c>
      <c r="J385" s="411">
        <v>6012</v>
      </c>
      <c r="K385" s="413">
        <v>7084</v>
      </c>
      <c r="L385" s="414">
        <v>12318</v>
      </c>
      <c r="M385" s="411">
        <v>1785</v>
      </c>
      <c r="N385" s="411"/>
      <c r="O385" s="412">
        <v>13440</v>
      </c>
      <c r="P385" s="412">
        <v>1854</v>
      </c>
      <c r="Q385" s="413"/>
      <c r="R385" s="381"/>
      <c r="S385" s="390"/>
      <c r="T385" s="383">
        <f t="shared" si="25"/>
        <v>0</v>
      </c>
      <c r="U385" s="384">
        <f t="shared" si="26"/>
        <v>0</v>
      </c>
      <c r="V385" s="388"/>
      <c r="W385" s="389"/>
      <c r="X385" s="391"/>
      <c r="Y385" s="390"/>
      <c r="Z385" s="381"/>
      <c r="AA385" s="388"/>
      <c r="AB385" s="388"/>
      <c r="AC385" s="389"/>
      <c r="AD385" s="389"/>
      <c r="AE385" s="392"/>
      <c r="AF385" s="381"/>
      <c r="AG385" s="389"/>
    </row>
    <row r="386" spans="1:33" s="404" customFormat="1" ht="12.75" customHeight="1">
      <c r="A386" s="473" t="s">
        <v>326</v>
      </c>
      <c r="B386" s="429" t="s">
        <v>352</v>
      </c>
      <c r="C386" s="429"/>
      <c r="D386" s="474">
        <v>207740</v>
      </c>
      <c r="E386" s="475">
        <v>10</v>
      </c>
      <c r="F386" s="376">
        <f t="shared" si="23"/>
        <v>49016</v>
      </c>
      <c r="G386" s="377">
        <f t="shared" si="24"/>
        <v>48732</v>
      </c>
      <c r="H386" s="411">
        <v>36211</v>
      </c>
      <c r="I386" s="412">
        <v>34361</v>
      </c>
      <c r="J386" s="411">
        <v>7231</v>
      </c>
      <c r="K386" s="413">
        <v>7030</v>
      </c>
      <c r="L386" s="414">
        <v>5463</v>
      </c>
      <c r="M386" s="411">
        <v>96</v>
      </c>
      <c r="N386" s="411">
        <v>15</v>
      </c>
      <c r="O386" s="412">
        <v>7221</v>
      </c>
      <c r="P386" s="412">
        <v>120</v>
      </c>
      <c r="Q386" s="413"/>
      <c r="R386" s="381"/>
      <c r="S386" s="390"/>
      <c r="T386" s="383">
        <f t="shared" si="25"/>
        <v>0</v>
      </c>
      <c r="U386" s="384">
        <f t="shared" si="26"/>
        <v>0</v>
      </c>
      <c r="V386" s="388"/>
      <c r="W386" s="389"/>
      <c r="X386" s="391"/>
      <c r="Y386" s="390"/>
      <c r="Z386" s="381"/>
      <c r="AA386" s="388"/>
      <c r="AB386" s="388"/>
      <c r="AC386" s="389"/>
      <c r="AD386" s="389"/>
      <c r="AE386" s="392"/>
      <c r="AF386" s="381"/>
      <c r="AG386" s="389"/>
    </row>
    <row r="387" spans="1:33" s="404" customFormat="1" ht="12.75" customHeight="1">
      <c r="A387" s="473" t="s">
        <v>326</v>
      </c>
      <c r="B387" s="429" t="s">
        <v>353</v>
      </c>
      <c r="C387" s="429"/>
      <c r="D387" s="474">
        <v>208035</v>
      </c>
      <c r="E387" s="475">
        <v>10</v>
      </c>
      <c r="F387" s="376">
        <f t="shared" si="23"/>
        <v>47879</v>
      </c>
      <c r="G387" s="377">
        <f t="shared" si="24"/>
        <v>58587</v>
      </c>
      <c r="H387" s="411">
        <v>19295</v>
      </c>
      <c r="I387" s="412">
        <v>21974</v>
      </c>
      <c r="J387" s="411">
        <v>6706</v>
      </c>
      <c r="K387" s="413">
        <v>5525</v>
      </c>
      <c r="L387" s="414">
        <v>19223</v>
      </c>
      <c r="M387" s="411">
        <v>2199</v>
      </c>
      <c r="N387" s="411">
        <v>456</v>
      </c>
      <c r="O387" s="412">
        <v>28667</v>
      </c>
      <c r="P387" s="412">
        <v>1911</v>
      </c>
      <c r="Q387" s="413">
        <v>510</v>
      </c>
      <c r="R387" s="381"/>
      <c r="S387" s="390"/>
      <c r="T387" s="383">
        <f t="shared" si="25"/>
        <v>0</v>
      </c>
      <c r="U387" s="384">
        <f t="shared" si="26"/>
        <v>0</v>
      </c>
      <c r="V387" s="388"/>
      <c r="W387" s="389"/>
      <c r="X387" s="391"/>
      <c r="Y387" s="390"/>
      <c r="Z387" s="381"/>
      <c r="AA387" s="388"/>
      <c r="AB387" s="388"/>
      <c r="AC387" s="389"/>
      <c r="AD387" s="389"/>
      <c r="AE387" s="392"/>
      <c r="AF387" s="381"/>
      <c r="AG387" s="389"/>
    </row>
    <row r="388" spans="1:33" s="404" customFormat="1" ht="12.75" customHeight="1">
      <c r="A388" s="560" t="s">
        <v>326</v>
      </c>
      <c r="B388" s="561" t="s">
        <v>908</v>
      </c>
      <c r="C388" s="562"/>
      <c r="D388" s="563">
        <v>365374</v>
      </c>
      <c r="E388" s="396">
        <v>12</v>
      </c>
      <c r="F388" s="376">
        <f t="shared" si="23"/>
        <v>0</v>
      </c>
      <c r="G388" s="377">
        <f t="shared" si="24"/>
        <v>0</v>
      </c>
      <c r="H388" s="411"/>
      <c r="I388" s="412"/>
      <c r="J388" s="411"/>
      <c r="K388" s="413"/>
      <c r="L388" s="414"/>
      <c r="M388" s="411"/>
      <c r="N388" s="411"/>
      <c r="O388" s="412"/>
      <c r="P388" s="412"/>
      <c r="Q388" s="413"/>
      <c r="R388" s="381"/>
      <c r="S388" s="390"/>
      <c r="T388" s="383">
        <f t="shared" si="25"/>
        <v>0</v>
      </c>
      <c r="U388" s="384">
        <f t="shared" si="26"/>
        <v>0</v>
      </c>
      <c r="V388" s="388"/>
      <c r="W388" s="389"/>
      <c r="X388" s="391"/>
      <c r="Y388" s="390"/>
      <c r="Z388" s="381"/>
      <c r="AA388" s="388"/>
      <c r="AB388" s="388"/>
      <c r="AC388" s="389"/>
      <c r="AD388" s="389"/>
      <c r="AE388" s="392"/>
      <c r="AF388" s="381"/>
      <c r="AG388" s="389"/>
    </row>
    <row r="389" spans="1:33" s="404" customFormat="1" ht="12.75" customHeight="1">
      <c r="A389" s="560" t="s">
        <v>326</v>
      </c>
      <c r="B389" s="441" t="s">
        <v>909</v>
      </c>
      <c r="C389" s="530"/>
      <c r="D389" s="563">
        <v>245999</v>
      </c>
      <c r="E389" s="396">
        <v>12</v>
      </c>
      <c r="F389" s="376">
        <f t="shared" si="23"/>
        <v>0</v>
      </c>
      <c r="G389" s="377">
        <f t="shared" si="24"/>
        <v>0</v>
      </c>
      <c r="H389" s="411"/>
      <c r="I389" s="412"/>
      <c r="J389" s="411"/>
      <c r="K389" s="413"/>
      <c r="L389" s="414"/>
      <c r="M389" s="411"/>
      <c r="N389" s="411"/>
      <c r="O389" s="412"/>
      <c r="P389" s="412"/>
      <c r="Q389" s="413"/>
      <c r="R389" s="381"/>
      <c r="S389" s="390"/>
      <c r="T389" s="383">
        <f t="shared" si="25"/>
        <v>0</v>
      </c>
      <c r="U389" s="384">
        <f t="shared" si="26"/>
        <v>0</v>
      </c>
      <c r="V389" s="388"/>
      <c r="W389" s="389"/>
      <c r="X389" s="391"/>
      <c r="Y389" s="390"/>
      <c r="Z389" s="381"/>
      <c r="AA389" s="388"/>
      <c r="AB389" s="388"/>
      <c r="AC389" s="389"/>
      <c r="AD389" s="389"/>
      <c r="AE389" s="392"/>
      <c r="AF389" s="381"/>
      <c r="AG389" s="389"/>
    </row>
    <row r="390" spans="1:33" s="404" customFormat="1" ht="12.75" customHeight="1">
      <c r="A390" s="560" t="s">
        <v>326</v>
      </c>
      <c r="B390" s="441" t="s">
        <v>910</v>
      </c>
      <c r="C390" s="530" t="s">
        <v>911</v>
      </c>
      <c r="D390" s="563">
        <v>364548</v>
      </c>
      <c r="E390" s="396">
        <v>12</v>
      </c>
      <c r="F390" s="376">
        <f t="shared" si="23"/>
        <v>0</v>
      </c>
      <c r="G390" s="377">
        <f t="shared" si="24"/>
        <v>0</v>
      </c>
      <c r="H390" s="411"/>
      <c r="I390" s="412"/>
      <c r="J390" s="411"/>
      <c r="K390" s="413"/>
      <c r="L390" s="414"/>
      <c r="M390" s="411"/>
      <c r="N390" s="411"/>
      <c r="O390" s="412"/>
      <c r="P390" s="412"/>
      <c r="Q390" s="413"/>
      <c r="R390" s="381"/>
      <c r="S390" s="390"/>
      <c r="T390" s="383">
        <f t="shared" si="25"/>
        <v>0</v>
      </c>
      <c r="U390" s="384">
        <f t="shared" si="26"/>
        <v>0</v>
      </c>
      <c r="V390" s="388"/>
      <c r="W390" s="389"/>
      <c r="X390" s="391"/>
      <c r="Y390" s="390"/>
      <c r="Z390" s="381"/>
      <c r="AA390" s="388"/>
      <c r="AB390" s="388"/>
      <c r="AC390" s="389"/>
      <c r="AD390" s="389"/>
      <c r="AE390" s="392"/>
      <c r="AF390" s="381"/>
      <c r="AG390" s="389"/>
    </row>
    <row r="391" spans="1:33" s="404" customFormat="1" ht="12.75" customHeight="1">
      <c r="A391" s="560" t="s">
        <v>326</v>
      </c>
      <c r="B391" s="441" t="s">
        <v>912</v>
      </c>
      <c r="C391" s="530"/>
      <c r="D391" s="563">
        <v>363165</v>
      </c>
      <c r="E391" s="396">
        <v>12</v>
      </c>
      <c r="F391" s="376">
        <f t="shared" si="23"/>
        <v>0</v>
      </c>
      <c r="G391" s="377">
        <f t="shared" si="24"/>
        <v>0</v>
      </c>
      <c r="H391" s="411"/>
      <c r="I391" s="412"/>
      <c r="J391" s="411"/>
      <c r="K391" s="413"/>
      <c r="L391" s="414"/>
      <c r="M391" s="411"/>
      <c r="N391" s="411"/>
      <c r="O391" s="412"/>
      <c r="P391" s="412"/>
      <c r="Q391" s="413"/>
      <c r="R391" s="381"/>
      <c r="S391" s="390"/>
      <c r="T391" s="383">
        <f t="shared" si="25"/>
        <v>0</v>
      </c>
      <c r="U391" s="384">
        <f t="shared" si="26"/>
        <v>0</v>
      </c>
      <c r="V391" s="388"/>
      <c r="W391" s="389"/>
      <c r="X391" s="391"/>
      <c r="Y391" s="390"/>
      <c r="Z391" s="381"/>
      <c r="AA391" s="388"/>
      <c r="AB391" s="388"/>
      <c r="AC391" s="389"/>
      <c r="AD391" s="389"/>
      <c r="AE391" s="392"/>
      <c r="AF391" s="381"/>
      <c r="AG391" s="389"/>
    </row>
    <row r="392" spans="1:33" s="404" customFormat="1" ht="12.75" customHeight="1">
      <c r="A392" s="560" t="s">
        <v>326</v>
      </c>
      <c r="B392" s="564" t="s">
        <v>913</v>
      </c>
      <c r="C392" s="565" t="s">
        <v>911</v>
      </c>
      <c r="D392" s="566">
        <v>261393</v>
      </c>
      <c r="E392" s="396">
        <v>12</v>
      </c>
      <c r="F392" s="376">
        <f t="shared" ref="F392:F455" si="27">SUM(H392,J392,L392,M392,N392,R392)</f>
        <v>0</v>
      </c>
      <c r="G392" s="377">
        <f t="shared" ref="G392:G455" si="28">SUM(I392,K392,O392,P392,Q392,S392)</f>
        <v>0</v>
      </c>
      <c r="H392" s="411"/>
      <c r="I392" s="412"/>
      <c r="J392" s="411"/>
      <c r="K392" s="413"/>
      <c r="L392" s="414"/>
      <c r="M392" s="411"/>
      <c r="N392" s="411"/>
      <c r="O392" s="412"/>
      <c r="P392" s="412"/>
      <c r="Q392" s="413"/>
      <c r="R392" s="381"/>
      <c r="S392" s="390"/>
      <c r="T392" s="383">
        <f t="shared" ref="T392:T455" si="29">SUM(V392,X392,Z392,AA392,AB392,AF392)</f>
        <v>0</v>
      </c>
      <c r="U392" s="384">
        <f t="shared" ref="U392:U455" si="30">SUM(W392,Y392,AC392,AD392,AE392,AG392)</f>
        <v>0</v>
      </c>
      <c r="V392" s="388"/>
      <c r="W392" s="389"/>
      <c r="X392" s="391"/>
      <c r="Y392" s="390"/>
      <c r="Z392" s="381"/>
      <c r="AA392" s="388"/>
      <c r="AB392" s="388"/>
      <c r="AC392" s="389"/>
      <c r="AD392" s="389"/>
      <c r="AE392" s="392"/>
      <c r="AF392" s="381"/>
      <c r="AG392" s="389"/>
    </row>
    <row r="393" spans="1:33" s="404" customFormat="1" ht="12.75" customHeight="1">
      <c r="A393" s="560" t="s">
        <v>326</v>
      </c>
      <c r="B393" s="441" t="s">
        <v>914</v>
      </c>
      <c r="C393" s="530"/>
      <c r="D393" s="563">
        <v>365213</v>
      </c>
      <c r="E393" s="396">
        <v>13</v>
      </c>
      <c r="F393" s="376">
        <f t="shared" si="27"/>
        <v>0</v>
      </c>
      <c r="G393" s="377">
        <f t="shared" si="28"/>
        <v>0</v>
      </c>
      <c r="H393" s="411"/>
      <c r="I393" s="412"/>
      <c r="J393" s="411"/>
      <c r="K393" s="413"/>
      <c r="L393" s="414"/>
      <c r="M393" s="411"/>
      <c r="N393" s="411"/>
      <c r="O393" s="412"/>
      <c r="P393" s="412"/>
      <c r="Q393" s="413"/>
      <c r="R393" s="381"/>
      <c r="S393" s="390"/>
      <c r="T393" s="383">
        <f t="shared" si="29"/>
        <v>0</v>
      </c>
      <c r="U393" s="384">
        <f t="shared" si="30"/>
        <v>0</v>
      </c>
      <c r="V393" s="388"/>
      <c r="W393" s="389"/>
      <c r="X393" s="391"/>
      <c r="Y393" s="390"/>
      <c r="Z393" s="381"/>
      <c r="AA393" s="388"/>
      <c r="AB393" s="388"/>
      <c r="AC393" s="389"/>
      <c r="AD393" s="389"/>
      <c r="AE393" s="392"/>
      <c r="AF393" s="381"/>
      <c r="AG393" s="389"/>
    </row>
    <row r="394" spans="1:33" s="404" customFormat="1" ht="12.75" customHeight="1">
      <c r="A394" s="560" t="s">
        <v>326</v>
      </c>
      <c r="B394" s="441" t="s">
        <v>915</v>
      </c>
      <c r="C394" s="530"/>
      <c r="D394" s="563">
        <v>364946</v>
      </c>
      <c r="E394" s="396">
        <v>13</v>
      </c>
      <c r="F394" s="376">
        <f t="shared" si="27"/>
        <v>0</v>
      </c>
      <c r="G394" s="377">
        <f t="shared" si="28"/>
        <v>0</v>
      </c>
      <c r="H394" s="411"/>
      <c r="I394" s="412"/>
      <c r="J394" s="411"/>
      <c r="K394" s="413"/>
      <c r="L394" s="414"/>
      <c r="M394" s="411"/>
      <c r="N394" s="411"/>
      <c r="O394" s="412"/>
      <c r="P394" s="412"/>
      <c r="Q394" s="413"/>
      <c r="R394" s="381"/>
      <c r="S394" s="390"/>
      <c r="T394" s="383">
        <f t="shared" si="29"/>
        <v>0</v>
      </c>
      <c r="U394" s="384">
        <f t="shared" si="30"/>
        <v>0</v>
      </c>
      <c r="V394" s="388"/>
      <c r="W394" s="389"/>
      <c r="X394" s="391"/>
      <c r="Y394" s="390"/>
      <c r="Z394" s="381"/>
      <c r="AA394" s="388"/>
      <c r="AB394" s="388"/>
      <c r="AC394" s="389"/>
      <c r="AD394" s="389"/>
      <c r="AE394" s="392"/>
      <c r="AF394" s="381"/>
      <c r="AG394" s="389"/>
    </row>
    <row r="395" spans="1:33" s="404" customFormat="1" ht="12.75" customHeight="1">
      <c r="A395" s="560" t="s">
        <v>326</v>
      </c>
      <c r="B395" s="441" t="s">
        <v>916</v>
      </c>
      <c r="C395" s="530"/>
      <c r="D395" s="563">
        <v>246017</v>
      </c>
      <c r="E395" s="396">
        <v>13</v>
      </c>
      <c r="F395" s="376">
        <f t="shared" si="27"/>
        <v>0</v>
      </c>
      <c r="G395" s="377">
        <f t="shared" si="28"/>
        <v>0</v>
      </c>
      <c r="H395" s="411"/>
      <c r="I395" s="412"/>
      <c r="J395" s="411"/>
      <c r="K395" s="413"/>
      <c r="L395" s="414"/>
      <c r="M395" s="411"/>
      <c r="N395" s="411"/>
      <c r="O395" s="412"/>
      <c r="P395" s="412"/>
      <c r="Q395" s="413"/>
      <c r="R395" s="381"/>
      <c r="S395" s="390"/>
      <c r="T395" s="383">
        <f t="shared" si="29"/>
        <v>0</v>
      </c>
      <c r="U395" s="384">
        <f t="shared" si="30"/>
        <v>0</v>
      </c>
      <c r="V395" s="388"/>
      <c r="W395" s="389"/>
      <c r="X395" s="391"/>
      <c r="Y395" s="390"/>
      <c r="Z395" s="381"/>
      <c r="AA395" s="388"/>
      <c r="AB395" s="388"/>
      <c r="AC395" s="389"/>
      <c r="AD395" s="389"/>
      <c r="AE395" s="392"/>
      <c r="AF395" s="381"/>
      <c r="AG395" s="389"/>
    </row>
    <row r="396" spans="1:33" s="404" customFormat="1" ht="12.75" customHeight="1">
      <c r="A396" s="560" t="s">
        <v>326</v>
      </c>
      <c r="B396" s="441" t="s">
        <v>917</v>
      </c>
      <c r="C396" s="530"/>
      <c r="D396" s="563">
        <v>375656</v>
      </c>
      <c r="E396" s="396">
        <v>13</v>
      </c>
      <c r="F396" s="376">
        <f t="shared" si="27"/>
        <v>0</v>
      </c>
      <c r="G396" s="377">
        <f t="shared" si="28"/>
        <v>0</v>
      </c>
      <c r="H396" s="411"/>
      <c r="I396" s="412"/>
      <c r="J396" s="411"/>
      <c r="K396" s="413"/>
      <c r="L396" s="414"/>
      <c r="M396" s="411"/>
      <c r="N396" s="411"/>
      <c r="O396" s="412"/>
      <c r="P396" s="412"/>
      <c r="Q396" s="413"/>
      <c r="R396" s="381"/>
      <c r="S396" s="390"/>
      <c r="T396" s="383">
        <f t="shared" si="29"/>
        <v>0</v>
      </c>
      <c r="U396" s="384">
        <f t="shared" si="30"/>
        <v>0</v>
      </c>
      <c r="V396" s="388"/>
      <c r="W396" s="389"/>
      <c r="X396" s="391"/>
      <c r="Y396" s="390"/>
      <c r="Z396" s="381"/>
      <c r="AA396" s="388"/>
      <c r="AB396" s="388"/>
      <c r="AC396" s="389"/>
      <c r="AD396" s="389"/>
      <c r="AE396" s="392"/>
      <c r="AF396" s="381"/>
      <c r="AG396" s="389"/>
    </row>
    <row r="397" spans="1:33" s="404" customFormat="1" ht="12.75" customHeight="1">
      <c r="A397" s="560" t="s">
        <v>326</v>
      </c>
      <c r="B397" s="441" t="s">
        <v>918</v>
      </c>
      <c r="C397" s="530"/>
      <c r="D397" s="563">
        <v>418348</v>
      </c>
      <c r="E397" s="396">
        <v>13</v>
      </c>
      <c r="F397" s="376">
        <f t="shared" si="27"/>
        <v>0</v>
      </c>
      <c r="G397" s="377">
        <f t="shared" si="28"/>
        <v>0</v>
      </c>
      <c r="H397" s="411"/>
      <c r="I397" s="412"/>
      <c r="J397" s="411"/>
      <c r="K397" s="413"/>
      <c r="L397" s="414"/>
      <c r="M397" s="411"/>
      <c r="N397" s="411"/>
      <c r="O397" s="412"/>
      <c r="P397" s="412"/>
      <c r="Q397" s="413"/>
      <c r="R397" s="381"/>
      <c r="S397" s="390"/>
      <c r="T397" s="383">
        <f t="shared" si="29"/>
        <v>0</v>
      </c>
      <c r="U397" s="384">
        <f t="shared" si="30"/>
        <v>0</v>
      </c>
      <c r="V397" s="388"/>
      <c r="W397" s="389"/>
      <c r="X397" s="391"/>
      <c r="Y397" s="390"/>
      <c r="Z397" s="381"/>
      <c r="AA397" s="388"/>
      <c r="AB397" s="388"/>
      <c r="AC397" s="389"/>
      <c r="AD397" s="389"/>
      <c r="AE397" s="392"/>
      <c r="AF397" s="381"/>
      <c r="AG397" s="389"/>
    </row>
    <row r="398" spans="1:33" s="404" customFormat="1" ht="12.75" customHeight="1">
      <c r="A398" s="560" t="s">
        <v>326</v>
      </c>
      <c r="B398" s="441" t="s">
        <v>919</v>
      </c>
      <c r="C398" s="530"/>
      <c r="D398" s="563">
        <v>375683</v>
      </c>
      <c r="E398" s="396">
        <v>13</v>
      </c>
      <c r="F398" s="376">
        <f t="shared" si="27"/>
        <v>0</v>
      </c>
      <c r="G398" s="377">
        <f t="shared" si="28"/>
        <v>0</v>
      </c>
      <c r="H398" s="411"/>
      <c r="I398" s="412"/>
      <c r="J398" s="411"/>
      <c r="K398" s="413"/>
      <c r="L398" s="414"/>
      <c r="M398" s="411"/>
      <c r="N398" s="411"/>
      <c r="O398" s="412"/>
      <c r="P398" s="412"/>
      <c r="Q398" s="413"/>
      <c r="R398" s="381"/>
      <c r="S398" s="390"/>
      <c r="T398" s="383">
        <f t="shared" si="29"/>
        <v>0</v>
      </c>
      <c r="U398" s="384">
        <f t="shared" si="30"/>
        <v>0</v>
      </c>
      <c r="V398" s="388"/>
      <c r="W398" s="389"/>
      <c r="X398" s="391"/>
      <c r="Y398" s="390"/>
      <c r="Z398" s="381"/>
      <c r="AA398" s="388"/>
      <c r="AB398" s="388"/>
      <c r="AC398" s="389"/>
      <c r="AD398" s="389"/>
      <c r="AE398" s="392"/>
      <c r="AF398" s="381"/>
      <c r="AG398" s="389"/>
    </row>
    <row r="399" spans="1:33" s="404" customFormat="1" ht="12.75" customHeight="1">
      <c r="A399" s="560" t="s">
        <v>326</v>
      </c>
      <c r="B399" s="441" t="s">
        <v>920</v>
      </c>
      <c r="C399" s="530"/>
      <c r="D399" s="563">
        <v>428019</v>
      </c>
      <c r="E399" s="396">
        <v>13</v>
      </c>
      <c r="F399" s="376">
        <f t="shared" si="27"/>
        <v>0</v>
      </c>
      <c r="G399" s="377">
        <f t="shared" si="28"/>
        <v>0</v>
      </c>
      <c r="H399" s="411"/>
      <c r="I399" s="412"/>
      <c r="J399" s="411"/>
      <c r="K399" s="413"/>
      <c r="L399" s="414"/>
      <c r="M399" s="411"/>
      <c r="N399" s="411"/>
      <c r="O399" s="412"/>
      <c r="P399" s="412"/>
      <c r="Q399" s="413"/>
      <c r="R399" s="381"/>
      <c r="S399" s="390"/>
      <c r="T399" s="383">
        <f t="shared" si="29"/>
        <v>0</v>
      </c>
      <c r="U399" s="384">
        <f t="shared" si="30"/>
        <v>0</v>
      </c>
      <c r="V399" s="388"/>
      <c r="W399" s="389"/>
      <c r="X399" s="391"/>
      <c r="Y399" s="390"/>
      <c r="Z399" s="381"/>
      <c r="AA399" s="388"/>
      <c r="AB399" s="388"/>
      <c r="AC399" s="389"/>
      <c r="AD399" s="389"/>
      <c r="AE399" s="392"/>
      <c r="AF399" s="381"/>
      <c r="AG399" s="389"/>
    </row>
    <row r="400" spans="1:33" s="404" customFormat="1" ht="12.75" customHeight="1">
      <c r="A400" s="560" t="s">
        <v>326</v>
      </c>
      <c r="B400" s="441" t="s">
        <v>921</v>
      </c>
      <c r="C400" s="530"/>
      <c r="D400" s="563">
        <v>208053</v>
      </c>
      <c r="E400" s="396">
        <v>13</v>
      </c>
      <c r="F400" s="376">
        <f t="shared" si="27"/>
        <v>0</v>
      </c>
      <c r="G400" s="377">
        <f t="shared" si="28"/>
        <v>0</v>
      </c>
      <c r="H400" s="411"/>
      <c r="I400" s="412"/>
      <c r="J400" s="411"/>
      <c r="K400" s="413"/>
      <c r="L400" s="414"/>
      <c r="M400" s="411"/>
      <c r="N400" s="411"/>
      <c r="O400" s="412"/>
      <c r="P400" s="412"/>
      <c r="Q400" s="413"/>
      <c r="R400" s="381"/>
      <c r="S400" s="390"/>
      <c r="T400" s="383">
        <f t="shared" si="29"/>
        <v>0</v>
      </c>
      <c r="U400" s="384">
        <f t="shared" si="30"/>
        <v>0</v>
      </c>
      <c r="V400" s="388"/>
      <c r="W400" s="389"/>
      <c r="X400" s="391"/>
      <c r="Y400" s="390"/>
      <c r="Z400" s="381"/>
      <c r="AA400" s="388"/>
      <c r="AB400" s="388"/>
      <c r="AC400" s="389"/>
      <c r="AD400" s="389"/>
      <c r="AE400" s="392"/>
      <c r="AF400" s="381"/>
      <c r="AG400" s="389"/>
    </row>
    <row r="401" spans="1:33" s="404" customFormat="1" ht="12.75" customHeight="1">
      <c r="A401" s="560" t="s">
        <v>326</v>
      </c>
      <c r="B401" s="441" t="s">
        <v>922</v>
      </c>
      <c r="C401" s="530"/>
      <c r="D401" s="563">
        <v>418296</v>
      </c>
      <c r="E401" s="396">
        <v>13</v>
      </c>
      <c r="F401" s="376">
        <f t="shared" si="27"/>
        <v>0</v>
      </c>
      <c r="G401" s="377">
        <f t="shared" si="28"/>
        <v>0</v>
      </c>
      <c r="H401" s="411"/>
      <c r="I401" s="412"/>
      <c r="J401" s="411"/>
      <c r="K401" s="413"/>
      <c r="L401" s="414"/>
      <c r="M401" s="411"/>
      <c r="N401" s="411"/>
      <c r="O401" s="412"/>
      <c r="P401" s="412"/>
      <c r="Q401" s="413"/>
      <c r="R401" s="381"/>
      <c r="S401" s="390"/>
      <c r="T401" s="383">
        <f t="shared" si="29"/>
        <v>0</v>
      </c>
      <c r="U401" s="384">
        <f t="shared" si="30"/>
        <v>0</v>
      </c>
      <c r="V401" s="388"/>
      <c r="W401" s="389"/>
      <c r="X401" s="391"/>
      <c r="Y401" s="390"/>
      <c r="Z401" s="381"/>
      <c r="AA401" s="388"/>
      <c r="AB401" s="388"/>
      <c r="AC401" s="389"/>
      <c r="AD401" s="389"/>
      <c r="AE401" s="392"/>
      <c r="AF401" s="381"/>
      <c r="AG401" s="389"/>
    </row>
    <row r="402" spans="1:33" s="404" customFormat="1" ht="12.75" customHeight="1">
      <c r="A402" s="560" t="s">
        <v>326</v>
      </c>
      <c r="B402" s="441" t="s">
        <v>923</v>
      </c>
      <c r="C402" s="530"/>
      <c r="D402" s="563">
        <v>421540</v>
      </c>
      <c r="E402" s="396">
        <v>13</v>
      </c>
      <c r="F402" s="376">
        <f t="shared" si="27"/>
        <v>0</v>
      </c>
      <c r="G402" s="377">
        <f t="shared" si="28"/>
        <v>0</v>
      </c>
      <c r="H402" s="411"/>
      <c r="I402" s="412"/>
      <c r="J402" s="411"/>
      <c r="K402" s="413"/>
      <c r="L402" s="414"/>
      <c r="M402" s="411"/>
      <c r="N402" s="411"/>
      <c r="O402" s="412"/>
      <c r="P402" s="412"/>
      <c r="Q402" s="413"/>
      <c r="R402" s="381"/>
      <c r="S402" s="390"/>
      <c r="T402" s="383">
        <f t="shared" si="29"/>
        <v>0</v>
      </c>
      <c r="U402" s="384">
        <f t="shared" si="30"/>
        <v>0</v>
      </c>
      <c r="V402" s="388"/>
      <c r="W402" s="389"/>
      <c r="X402" s="391"/>
      <c r="Y402" s="390"/>
      <c r="Z402" s="381"/>
      <c r="AA402" s="388"/>
      <c r="AB402" s="388"/>
      <c r="AC402" s="389"/>
      <c r="AD402" s="389"/>
      <c r="AE402" s="392"/>
      <c r="AF402" s="381"/>
      <c r="AG402" s="389"/>
    </row>
    <row r="403" spans="1:33" s="404" customFormat="1" ht="12.75" customHeight="1">
      <c r="A403" s="560" t="s">
        <v>326</v>
      </c>
      <c r="B403" s="441" t="s">
        <v>924</v>
      </c>
      <c r="C403" s="530"/>
      <c r="D403" s="563">
        <v>421559</v>
      </c>
      <c r="E403" s="396">
        <v>13</v>
      </c>
      <c r="F403" s="376">
        <f t="shared" si="27"/>
        <v>0</v>
      </c>
      <c r="G403" s="377">
        <f t="shared" si="28"/>
        <v>0</v>
      </c>
      <c r="H403" s="411"/>
      <c r="I403" s="412"/>
      <c r="J403" s="411"/>
      <c r="K403" s="413"/>
      <c r="L403" s="414"/>
      <c r="M403" s="411"/>
      <c r="N403" s="411"/>
      <c r="O403" s="412"/>
      <c r="P403" s="412"/>
      <c r="Q403" s="413"/>
      <c r="R403" s="381"/>
      <c r="S403" s="390"/>
      <c r="T403" s="383">
        <f t="shared" si="29"/>
        <v>0</v>
      </c>
      <c r="U403" s="384">
        <f t="shared" si="30"/>
        <v>0</v>
      </c>
      <c r="V403" s="388"/>
      <c r="W403" s="389"/>
      <c r="X403" s="391"/>
      <c r="Y403" s="390"/>
      <c r="Z403" s="381"/>
      <c r="AA403" s="388"/>
      <c r="AB403" s="388"/>
      <c r="AC403" s="389"/>
      <c r="AD403" s="389"/>
      <c r="AE403" s="392"/>
      <c r="AF403" s="381"/>
      <c r="AG403" s="389"/>
    </row>
    <row r="404" spans="1:33" s="404" customFormat="1" ht="12.75" customHeight="1">
      <c r="A404" s="560" t="s">
        <v>326</v>
      </c>
      <c r="B404" s="441" t="s">
        <v>925</v>
      </c>
      <c r="C404" s="530"/>
      <c r="D404" s="563">
        <v>208026</v>
      </c>
      <c r="E404" s="396">
        <v>13</v>
      </c>
      <c r="F404" s="376">
        <f t="shared" si="27"/>
        <v>0</v>
      </c>
      <c r="G404" s="377">
        <f t="shared" si="28"/>
        <v>0</v>
      </c>
      <c r="H404" s="411"/>
      <c r="I404" s="412"/>
      <c r="J404" s="411"/>
      <c r="K404" s="413"/>
      <c r="L404" s="414"/>
      <c r="M404" s="411"/>
      <c r="N404" s="411"/>
      <c r="O404" s="412"/>
      <c r="P404" s="412"/>
      <c r="Q404" s="413"/>
      <c r="R404" s="381"/>
      <c r="S404" s="390"/>
      <c r="T404" s="383">
        <f t="shared" si="29"/>
        <v>0</v>
      </c>
      <c r="U404" s="384">
        <f t="shared" si="30"/>
        <v>0</v>
      </c>
      <c r="V404" s="388"/>
      <c r="W404" s="389"/>
      <c r="X404" s="391"/>
      <c r="Y404" s="390"/>
      <c r="Z404" s="381"/>
      <c r="AA404" s="388"/>
      <c r="AB404" s="388"/>
      <c r="AC404" s="389"/>
      <c r="AD404" s="389"/>
      <c r="AE404" s="392"/>
      <c r="AF404" s="381"/>
      <c r="AG404" s="389"/>
    </row>
    <row r="405" spans="1:33" s="404" customFormat="1" ht="12.75" customHeight="1">
      <c r="A405" s="560" t="s">
        <v>326</v>
      </c>
      <c r="B405" s="441" t="s">
        <v>926</v>
      </c>
      <c r="C405" s="530"/>
      <c r="D405" s="563">
        <v>375692</v>
      </c>
      <c r="E405" s="396">
        <v>13</v>
      </c>
      <c r="F405" s="376">
        <f t="shared" si="27"/>
        <v>0</v>
      </c>
      <c r="G405" s="377">
        <f t="shared" si="28"/>
        <v>0</v>
      </c>
      <c r="H405" s="411"/>
      <c r="I405" s="412"/>
      <c r="J405" s="411"/>
      <c r="K405" s="413"/>
      <c r="L405" s="414"/>
      <c r="M405" s="411"/>
      <c r="N405" s="411"/>
      <c r="O405" s="412"/>
      <c r="P405" s="412"/>
      <c r="Q405" s="413"/>
      <c r="R405" s="381"/>
      <c r="S405" s="390"/>
      <c r="T405" s="383">
        <f t="shared" si="29"/>
        <v>0</v>
      </c>
      <c r="U405" s="384">
        <f t="shared" si="30"/>
        <v>0</v>
      </c>
      <c r="V405" s="388"/>
      <c r="W405" s="389"/>
      <c r="X405" s="391"/>
      <c r="Y405" s="390"/>
      <c r="Z405" s="381"/>
      <c r="AA405" s="388"/>
      <c r="AB405" s="388"/>
      <c r="AC405" s="389"/>
      <c r="AD405" s="389"/>
      <c r="AE405" s="392"/>
      <c r="AF405" s="381"/>
      <c r="AG405" s="389"/>
    </row>
    <row r="406" spans="1:33" s="404" customFormat="1" ht="12.75" customHeight="1">
      <c r="A406" s="560" t="s">
        <v>326</v>
      </c>
      <c r="B406" s="441" t="s">
        <v>927</v>
      </c>
      <c r="C406" s="530"/>
      <c r="D406" s="563">
        <v>375708</v>
      </c>
      <c r="E406" s="396">
        <v>13</v>
      </c>
      <c r="F406" s="376">
        <f t="shared" si="27"/>
        <v>0</v>
      </c>
      <c r="G406" s="377">
        <f t="shared" si="28"/>
        <v>0</v>
      </c>
      <c r="H406" s="411"/>
      <c r="I406" s="412"/>
      <c r="J406" s="411"/>
      <c r="K406" s="413"/>
      <c r="L406" s="414"/>
      <c r="M406" s="411"/>
      <c r="N406" s="411"/>
      <c r="O406" s="412"/>
      <c r="P406" s="412"/>
      <c r="Q406" s="413"/>
      <c r="R406" s="381"/>
      <c r="S406" s="390"/>
      <c r="T406" s="383">
        <f t="shared" si="29"/>
        <v>0</v>
      </c>
      <c r="U406" s="384">
        <f t="shared" si="30"/>
        <v>0</v>
      </c>
      <c r="V406" s="388"/>
      <c r="W406" s="389"/>
      <c r="X406" s="391"/>
      <c r="Y406" s="390"/>
      <c r="Z406" s="381"/>
      <c r="AA406" s="388"/>
      <c r="AB406" s="388"/>
      <c r="AC406" s="389"/>
      <c r="AD406" s="389"/>
      <c r="AE406" s="392"/>
      <c r="AF406" s="381"/>
      <c r="AG406" s="389"/>
    </row>
    <row r="407" spans="1:33" s="404" customFormat="1" ht="12.75" customHeight="1">
      <c r="A407" s="560" t="s">
        <v>326</v>
      </c>
      <c r="B407" s="441" t="s">
        <v>928</v>
      </c>
      <c r="C407" s="530"/>
      <c r="D407" s="563">
        <v>375717</v>
      </c>
      <c r="E407" s="396">
        <v>13</v>
      </c>
      <c r="F407" s="376">
        <f t="shared" si="27"/>
        <v>0</v>
      </c>
      <c r="G407" s="377">
        <f t="shared" si="28"/>
        <v>0</v>
      </c>
      <c r="H407" s="411"/>
      <c r="I407" s="412"/>
      <c r="J407" s="411"/>
      <c r="K407" s="413"/>
      <c r="L407" s="414"/>
      <c r="M407" s="411"/>
      <c r="N407" s="411"/>
      <c r="O407" s="412"/>
      <c r="P407" s="412"/>
      <c r="Q407" s="413"/>
      <c r="R407" s="381"/>
      <c r="S407" s="390"/>
      <c r="T407" s="383">
        <f t="shared" si="29"/>
        <v>0</v>
      </c>
      <c r="U407" s="384">
        <f t="shared" si="30"/>
        <v>0</v>
      </c>
      <c r="V407" s="388"/>
      <c r="W407" s="389"/>
      <c r="X407" s="391"/>
      <c r="Y407" s="390"/>
      <c r="Z407" s="381"/>
      <c r="AA407" s="388"/>
      <c r="AB407" s="388"/>
      <c r="AC407" s="389"/>
      <c r="AD407" s="389"/>
      <c r="AE407" s="392"/>
      <c r="AF407" s="381"/>
      <c r="AG407" s="389"/>
    </row>
    <row r="408" spans="1:33" s="404" customFormat="1" ht="12.75" customHeight="1">
      <c r="A408" s="560" t="s">
        <v>326</v>
      </c>
      <c r="B408" s="441" t="s">
        <v>929</v>
      </c>
      <c r="C408" s="530"/>
      <c r="D408" s="563">
        <v>375735</v>
      </c>
      <c r="E408" s="396">
        <v>13</v>
      </c>
      <c r="F408" s="376">
        <f t="shared" si="27"/>
        <v>0</v>
      </c>
      <c r="G408" s="377">
        <f t="shared" si="28"/>
        <v>0</v>
      </c>
      <c r="H408" s="411"/>
      <c r="I408" s="412"/>
      <c r="J408" s="411"/>
      <c r="K408" s="413"/>
      <c r="L408" s="414"/>
      <c r="M408" s="411"/>
      <c r="N408" s="411"/>
      <c r="O408" s="412"/>
      <c r="P408" s="412"/>
      <c r="Q408" s="413"/>
      <c r="R408" s="381"/>
      <c r="S408" s="390"/>
      <c r="T408" s="383">
        <f t="shared" si="29"/>
        <v>0</v>
      </c>
      <c r="U408" s="384">
        <f t="shared" si="30"/>
        <v>0</v>
      </c>
      <c r="V408" s="388"/>
      <c r="W408" s="389"/>
      <c r="X408" s="391"/>
      <c r="Y408" s="390"/>
      <c r="Z408" s="381"/>
      <c r="AA408" s="388"/>
      <c r="AB408" s="388"/>
      <c r="AC408" s="389"/>
      <c r="AD408" s="389"/>
      <c r="AE408" s="392"/>
      <c r="AF408" s="381"/>
      <c r="AG408" s="389"/>
    </row>
    <row r="409" spans="1:33" s="404" customFormat="1" ht="12.75" customHeight="1">
      <c r="A409" s="560" t="s">
        <v>326</v>
      </c>
      <c r="B409" s="441" t="s">
        <v>930</v>
      </c>
      <c r="C409" s="530"/>
      <c r="D409" s="563">
        <v>375726</v>
      </c>
      <c r="E409" s="396">
        <v>13</v>
      </c>
      <c r="F409" s="376">
        <f t="shared" si="27"/>
        <v>0</v>
      </c>
      <c r="G409" s="377">
        <f t="shared" si="28"/>
        <v>0</v>
      </c>
      <c r="H409" s="411"/>
      <c r="I409" s="412"/>
      <c r="J409" s="411"/>
      <c r="K409" s="413"/>
      <c r="L409" s="414"/>
      <c r="M409" s="411"/>
      <c r="N409" s="411"/>
      <c r="O409" s="412"/>
      <c r="P409" s="412"/>
      <c r="Q409" s="413"/>
      <c r="R409" s="381"/>
      <c r="S409" s="390"/>
      <c r="T409" s="383">
        <f t="shared" si="29"/>
        <v>0</v>
      </c>
      <c r="U409" s="384">
        <f t="shared" si="30"/>
        <v>0</v>
      </c>
      <c r="V409" s="388"/>
      <c r="W409" s="389"/>
      <c r="X409" s="391"/>
      <c r="Y409" s="390"/>
      <c r="Z409" s="381"/>
      <c r="AA409" s="388"/>
      <c r="AB409" s="388"/>
      <c r="AC409" s="389"/>
      <c r="AD409" s="389"/>
      <c r="AE409" s="392"/>
      <c r="AF409" s="381"/>
      <c r="AG409" s="389"/>
    </row>
    <row r="410" spans="1:33" s="404" customFormat="1" ht="12.75" customHeight="1">
      <c r="A410" s="560" t="s">
        <v>326</v>
      </c>
      <c r="B410" s="441" t="s">
        <v>931</v>
      </c>
      <c r="C410" s="530"/>
      <c r="D410" s="563">
        <v>375744</v>
      </c>
      <c r="E410" s="396">
        <v>13</v>
      </c>
      <c r="F410" s="376">
        <f t="shared" si="27"/>
        <v>0</v>
      </c>
      <c r="G410" s="377">
        <f t="shared" si="28"/>
        <v>0</v>
      </c>
      <c r="H410" s="411"/>
      <c r="I410" s="412"/>
      <c r="J410" s="411"/>
      <c r="K410" s="413"/>
      <c r="L410" s="414"/>
      <c r="M410" s="411"/>
      <c r="N410" s="411"/>
      <c r="O410" s="412"/>
      <c r="P410" s="412"/>
      <c r="Q410" s="413"/>
      <c r="R410" s="381"/>
      <c r="S410" s="390"/>
      <c r="T410" s="383">
        <f t="shared" si="29"/>
        <v>0</v>
      </c>
      <c r="U410" s="384">
        <f t="shared" si="30"/>
        <v>0</v>
      </c>
      <c r="V410" s="388"/>
      <c r="W410" s="389"/>
      <c r="X410" s="391"/>
      <c r="Y410" s="390"/>
      <c r="Z410" s="381"/>
      <c r="AA410" s="388"/>
      <c r="AB410" s="388"/>
      <c r="AC410" s="389"/>
      <c r="AD410" s="389"/>
      <c r="AE410" s="392"/>
      <c r="AF410" s="381"/>
      <c r="AG410" s="389"/>
    </row>
    <row r="411" spans="1:33" s="404" customFormat="1" ht="12.75" customHeight="1">
      <c r="A411" s="560" t="s">
        <v>326</v>
      </c>
      <c r="B411" s="441" t="s">
        <v>932</v>
      </c>
      <c r="C411" s="530"/>
      <c r="D411" s="563">
        <v>375753</v>
      </c>
      <c r="E411" s="396">
        <v>13</v>
      </c>
      <c r="F411" s="376">
        <f t="shared" si="27"/>
        <v>0</v>
      </c>
      <c r="G411" s="377">
        <f t="shared" si="28"/>
        <v>0</v>
      </c>
      <c r="H411" s="411"/>
      <c r="I411" s="412"/>
      <c r="J411" s="411"/>
      <c r="K411" s="413"/>
      <c r="L411" s="414"/>
      <c r="M411" s="411"/>
      <c r="N411" s="411"/>
      <c r="O411" s="412"/>
      <c r="P411" s="412"/>
      <c r="Q411" s="413"/>
      <c r="R411" s="381"/>
      <c r="S411" s="390"/>
      <c r="T411" s="383">
        <f t="shared" si="29"/>
        <v>0</v>
      </c>
      <c r="U411" s="384">
        <f t="shared" si="30"/>
        <v>0</v>
      </c>
      <c r="V411" s="388"/>
      <c r="W411" s="389"/>
      <c r="X411" s="391"/>
      <c r="Y411" s="390"/>
      <c r="Z411" s="381"/>
      <c r="AA411" s="388"/>
      <c r="AB411" s="388"/>
      <c r="AC411" s="389"/>
      <c r="AD411" s="389"/>
      <c r="AE411" s="392"/>
      <c r="AF411" s="381"/>
      <c r="AG411" s="389"/>
    </row>
    <row r="412" spans="1:33" s="404" customFormat="1" ht="12.75" customHeight="1">
      <c r="A412" s="560" t="s">
        <v>326</v>
      </c>
      <c r="B412" s="441" t="s">
        <v>933</v>
      </c>
      <c r="C412" s="530"/>
      <c r="D412" s="563">
        <v>405748</v>
      </c>
      <c r="E412" s="396">
        <v>13</v>
      </c>
      <c r="F412" s="376">
        <f t="shared" si="27"/>
        <v>0</v>
      </c>
      <c r="G412" s="377">
        <f t="shared" si="28"/>
        <v>0</v>
      </c>
      <c r="H412" s="411"/>
      <c r="I412" s="412"/>
      <c r="J412" s="411"/>
      <c r="K412" s="413"/>
      <c r="L412" s="414"/>
      <c r="M412" s="411"/>
      <c r="N412" s="411"/>
      <c r="O412" s="412"/>
      <c r="P412" s="412"/>
      <c r="Q412" s="413"/>
      <c r="R412" s="381"/>
      <c r="S412" s="390"/>
      <c r="T412" s="383">
        <f t="shared" si="29"/>
        <v>0</v>
      </c>
      <c r="U412" s="384">
        <f t="shared" si="30"/>
        <v>0</v>
      </c>
      <c r="V412" s="388"/>
      <c r="W412" s="389"/>
      <c r="X412" s="391"/>
      <c r="Y412" s="390"/>
      <c r="Z412" s="381"/>
      <c r="AA412" s="388"/>
      <c r="AB412" s="388"/>
      <c r="AC412" s="389"/>
      <c r="AD412" s="389"/>
      <c r="AE412" s="392"/>
      <c r="AF412" s="381"/>
      <c r="AG412" s="389"/>
    </row>
    <row r="413" spans="1:33" s="404" customFormat="1" ht="12.75" customHeight="1">
      <c r="A413" s="560" t="s">
        <v>326</v>
      </c>
      <c r="B413" s="441" t="s">
        <v>934</v>
      </c>
      <c r="C413" s="530"/>
      <c r="D413" s="563">
        <v>375762</v>
      </c>
      <c r="E413" s="396">
        <v>13</v>
      </c>
      <c r="F413" s="376">
        <f t="shared" si="27"/>
        <v>0</v>
      </c>
      <c r="G413" s="377">
        <f t="shared" si="28"/>
        <v>0</v>
      </c>
      <c r="H413" s="411"/>
      <c r="I413" s="412"/>
      <c r="J413" s="411"/>
      <c r="K413" s="413"/>
      <c r="L413" s="414"/>
      <c r="M413" s="411"/>
      <c r="N413" s="411"/>
      <c r="O413" s="412"/>
      <c r="P413" s="412"/>
      <c r="Q413" s="413"/>
      <c r="R413" s="381"/>
      <c r="S413" s="390"/>
      <c r="T413" s="383">
        <f t="shared" si="29"/>
        <v>0</v>
      </c>
      <c r="U413" s="384">
        <f t="shared" si="30"/>
        <v>0</v>
      </c>
      <c r="V413" s="388"/>
      <c r="W413" s="389"/>
      <c r="X413" s="391"/>
      <c r="Y413" s="390"/>
      <c r="Z413" s="381"/>
      <c r="AA413" s="388"/>
      <c r="AB413" s="388"/>
      <c r="AC413" s="389"/>
      <c r="AD413" s="389"/>
      <c r="AE413" s="392"/>
      <c r="AF413" s="381"/>
      <c r="AG413" s="389"/>
    </row>
    <row r="414" spans="1:33" s="404" customFormat="1" ht="12.75" customHeight="1">
      <c r="A414" s="560" t="s">
        <v>326</v>
      </c>
      <c r="B414" s="441" t="s">
        <v>935</v>
      </c>
      <c r="C414" s="530"/>
      <c r="D414" s="563">
        <v>365480</v>
      </c>
      <c r="E414" s="396">
        <v>13</v>
      </c>
      <c r="F414" s="376">
        <f t="shared" si="27"/>
        <v>0</v>
      </c>
      <c r="G414" s="377">
        <f t="shared" si="28"/>
        <v>0</v>
      </c>
      <c r="H414" s="411"/>
      <c r="I414" s="412"/>
      <c r="J414" s="411"/>
      <c r="K414" s="413"/>
      <c r="L414" s="414"/>
      <c r="M414" s="411"/>
      <c r="N414" s="411"/>
      <c r="O414" s="412"/>
      <c r="P414" s="412"/>
      <c r="Q414" s="413"/>
      <c r="R414" s="381"/>
      <c r="S414" s="390"/>
      <c r="T414" s="383">
        <f t="shared" si="29"/>
        <v>0</v>
      </c>
      <c r="U414" s="384">
        <f t="shared" si="30"/>
        <v>0</v>
      </c>
      <c r="V414" s="388"/>
      <c r="W414" s="389"/>
      <c r="X414" s="391"/>
      <c r="Y414" s="390"/>
      <c r="Z414" s="381"/>
      <c r="AA414" s="388"/>
      <c r="AB414" s="388"/>
      <c r="AC414" s="389"/>
      <c r="AD414" s="389"/>
      <c r="AE414" s="392"/>
      <c r="AF414" s="381"/>
      <c r="AG414" s="389"/>
    </row>
    <row r="415" spans="1:33" s="404" customFormat="1" ht="12.75" customHeight="1">
      <c r="A415" s="560" t="s">
        <v>326</v>
      </c>
      <c r="B415" s="441" t="s">
        <v>936</v>
      </c>
      <c r="C415" s="530"/>
      <c r="D415" s="563">
        <v>418320</v>
      </c>
      <c r="E415" s="396">
        <v>13</v>
      </c>
      <c r="F415" s="376">
        <f t="shared" si="27"/>
        <v>0</v>
      </c>
      <c r="G415" s="377">
        <f t="shared" si="28"/>
        <v>0</v>
      </c>
      <c r="H415" s="411"/>
      <c r="I415" s="412"/>
      <c r="J415" s="411"/>
      <c r="K415" s="413"/>
      <c r="L415" s="414"/>
      <c r="M415" s="411"/>
      <c r="N415" s="411"/>
      <c r="O415" s="412"/>
      <c r="P415" s="412"/>
      <c r="Q415" s="413"/>
      <c r="R415" s="381"/>
      <c r="S415" s="390"/>
      <c r="T415" s="383">
        <f t="shared" si="29"/>
        <v>0</v>
      </c>
      <c r="U415" s="384">
        <f t="shared" si="30"/>
        <v>0</v>
      </c>
      <c r="V415" s="388"/>
      <c r="W415" s="389"/>
      <c r="X415" s="391"/>
      <c r="Y415" s="390"/>
      <c r="Z415" s="381"/>
      <c r="AA415" s="388"/>
      <c r="AB415" s="388"/>
      <c r="AC415" s="389"/>
      <c r="AD415" s="389"/>
      <c r="AE415" s="392"/>
      <c r="AF415" s="381"/>
      <c r="AG415" s="389"/>
    </row>
    <row r="416" spans="1:33" s="404" customFormat="1" ht="12.75" customHeight="1">
      <c r="A416" s="560" t="s">
        <v>326</v>
      </c>
      <c r="B416" s="441" t="s">
        <v>937</v>
      </c>
      <c r="C416" s="530"/>
      <c r="D416" s="563">
        <v>431017</v>
      </c>
      <c r="E416" s="396">
        <v>13</v>
      </c>
      <c r="F416" s="376">
        <f t="shared" si="27"/>
        <v>0</v>
      </c>
      <c r="G416" s="377">
        <f t="shared" si="28"/>
        <v>0</v>
      </c>
      <c r="H416" s="411"/>
      <c r="I416" s="412"/>
      <c r="J416" s="411"/>
      <c r="K416" s="413"/>
      <c r="L416" s="414"/>
      <c r="M416" s="411"/>
      <c r="N416" s="411"/>
      <c r="O416" s="412"/>
      <c r="P416" s="412"/>
      <c r="Q416" s="413"/>
      <c r="R416" s="381"/>
      <c r="S416" s="390"/>
      <c r="T416" s="383">
        <f t="shared" si="29"/>
        <v>0</v>
      </c>
      <c r="U416" s="384">
        <f t="shared" si="30"/>
        <v>0</v>
      </c>
      <c r="V416" s="388"/>
      <c r="W416" s="389"/>
      <c r="X416" s="391"/>
      <c r="Y416" s="390"/>
      <c r="Z416" s="381"/>
      <c r="AA416" s="388"/>
      <c r="AB416" s="388"/>
      <c r="AC416" s="389"/>
      <c r="AD416" s="389"/>
      <c r="AE416" s="392"/>
      <c r="AF416" s="381"/>
      <c r="AG416" s="389"/>
    </row>
    <row r="417" spans="1:33" s="404" customFormat="1" ht="12.75" customHeight="1">
      <c r="A417" s="560" t="s">
        <v>326</v>
      </c>
      <c r="B417" s="561" t="s">
        <v>938</v>
      </c>
      <c r="C417" s="562"/>
      <c r="D417" s="563">
        <v>248606</v>
      </c>
      <c r="E417" s="396">
        <v>13</v>
      </c>
      <c r="F417" s="376">
        <f t="shared" si="27"/>
        <v>0</v>
      </c>
      <c r="G417" s="377">
        <f t="shared" si="28"/>
        <v>0</v>
      </c>
      <c r="H417" s="411"/>
      <c r="I417" s="412"/>
      <c r="J417" s="411"/>
      <c r="K417" s="413"/>
      <c r="L417" s="414"/>
      <c r="M417" s="411"/>
      <c r="N417" s="411"/>
      <c r="O417" s="412"/>
      <c r="P417" s="412"/>
      <c r="Q417" s="413"/>
      <c r="R417" s="381"/>
      <c r="S417" s="390"/>
      <c r="T417" s="383">
        <f t="shared" si="29"/>
        <v>0</v>
      </c>
      <c r="U417" s="384">
        <f t="shared" si="30"/>
        <v>0</v>
      </c>
      <c r="V417" s="388"/>
      <c r="W417" s="389"/>
      <c r="X417" s="391"/>
      <c r="Y417" s="390"/>
      <c r="Z417" s="381"/>
      <c r="AA417" s="388"/>
      <c r="AB417" s="388"/>
      <c r="AC417" s="389"/>
      <c r="AD417" s="389"/>
      <c r="AE417" s="392"/>
      <c r="AF417" s="381"/>
      <c r="AG417" s="389"/>
    </row>
    <row r="418" spans="1:33" s="404" customFormat="1" ht="12.75" customHeight="1">
      <c r="A418" s="560" t="s">
        <v>326</v>
      </c>
      <c r="B418" s="441" t="s">
        <v>939</v>
      </c>
      <c r="C418" s="530"/>
      <c r="D418" s="563">
        <v>420459</v>
      </c>
      <c r="E418" s="396">
        <v>13</v>
      </c>
      <c r="F418" s="376">
        <f t="shared" si="27"/>
        <v>0</v>
      </c>
      <c r="G418" s="377">
        <f t="shared" si="28"/>
        <v>0</v>
      </c>
      <c r="H418" s="411"/>
      <c r="I418" s="412"/>
      <c r="J418" s="411"/>
      <c r="K418" s="413"/>
      <c r="L418" s="414"/>
      <c r="M418" s="411"/>
      <c r="N418" s="411"/>
      <c r="O418" s="412"/>
      <c r="P418" s="412"/>
      <c r="Q418" s="413"/>
      <c r="R418" s="381"/>
      <c r="S418" s="390"/>
      <c r="T418" s="383">
        <f t="shared" si="29"/>
        <v>0</v>
      </c>
      <c r="U418" s="384">
        <f t="shared" si="30"/>
        <v>0</v>
      </c>
      <c r="V418" s="388"/>
      <c r="W418" s="389"/>
      <c r="X418" s="391"/>
      <c r="Y418" s="390"/>
      <c r="Z418" s="381"/>
      <c r="AA418" s="388"/>
      <c r="AB418" s="388"/>
      <c r="AC418" s="389"/>
      <c r="AD418" s="389"/>
      <c r="AE418" s="392"/>
      <c r="AF418" s="381"/>
      <c r="AG418" s="389"/>
    </row>
    <row r="419" spans="1:33" s="404" customFormat="1" ht="12.75" customHeight="1">
      <c r="A419" s="560" t="s">
        <v>326</v>
      </c>
      <c r="B419" s="564" t="s">
        <v>940</v>
      </c>
      <c r="C419" s="565"/>
      <c r="D419" s="566">
        <v>432074</v>
      </c>
      <c r="E419" s="396">
        <v>13</v>
      </c>
      <c r="F419" s="376">
        <f t="shared" si="27"/>
        <v>0</v>
      </c>
      <c r="G419" s="377">
        <f t="shared" si="28"/>
        <v>0</v>
      </c>
      <c r="H419" s="411"/>
      <c r="I419" s="412"/>
      <c r="J419" s="411"/>
      <c r="K419" s="413"/>
      <c r="L419" s="414"/>
      <c r="M419" s="411"/>
      <c r="N419" s="411"/>
      <c r="O419" s="412"/>
      <c r="P419" s="412"/>
      <c r="Q419" s="413"/>
      <c r="R419" s="381"/>
      <c r="S419" s="390"/>
      <c r="T419" s="383">
        <f t="shared" si="29"/>
        <v>0</v>
      </c>
      <c r="U419" s="384">
        <f t="shared" si="30"/>
        <v>0</v>
      </c>
      <c r="V419" s="388"/>
      <c r="W419" s="389"/>
      <c r="X419" s="391"/>
      <c r="Y419" s="390"/>
      <c r="Z419" s="381"/>
      <c r="AA419" s="388"/>
      <c r="AB419" s="388"/>
      <c r="AC419" s="389"/>
      <c r="AD419" s="389"/>
      <c r="AE419" s="392"/>
      <c r="AF419" s="381"/>
      <c r="AG419" s="389"/>
    </row>
    <row r="420" spans="1:33" s="404" customFormat="1" ht="12.75" customHeight="1">
      <c r="A420" s="560" t="s">
        <v>326</v>
      </c>
      <c r="B420" s="564" t="s">
        <v>941</v>
      </c>
      <c r="C420" s="565"/>
      <c r="D420" s="566">
        <v>418339</v>
      </c>
      <c r="E420" s="396">
        <v>13</v>
      </c>
      <c r="F420" s="376">
        <f t="shared" si="27"/>
        <v>0</v>
      </c>
      <c r="G420" s="377">
        <f t="shared" si="28"/>
        <v>0</v>
      </c>
      <c r="H420" s="411"/>
      <c r="I420" s="412"/>
      <c r="J420" s="411"/>
      <c r="K420" s="413"/>
      <c r="L420" s="414"/>
      <c r="M420" s="411"/>
      <c r="N420" s="411"/>
      <c r="O420" s="412"/>
      <c r="P420" s="412"/>
      <c r="Q420" s="413"/>
      <c r="R420" s="381"/>
      <c r="S420" s="390"/>
      <c r="T420" s="383">
        <f t="shared" si="29"/>
        <v>0</v>
      </c>
      <c r="U420" s="384">
        <f t="shared" si="30"/>
        <v>0</v>
      </c>
      <c r="V420" s="388"/>
      <c r="W420" s="389"/>
      <c r="X420" s="391"/>
      <c r="Y420" s="390"/>
      <c r="Z420" s="381"/>
      <c r="AA420" s="388"/>
      <c r="AB420" s="388"/>
      <c r="AC420" s="389"/>
      <c r="AD420" s="389"/>
      <c r="AE420" s="392"/>
      <c r="AF420" s="381"/>
      <c r="AG420" s="389"/>
    </row>
    <row r="421" spans="1:33" s="404" customFormat="1" ht="12.75" customHeight="1">
      <c r="A421" s="560" t="s">
        <v>326</v>
      </c>
      <c r="B421" s="564" t="s">
        <v>942</v>
      </c>
      <c r="C421" s="565"/>
      <c r="D421" s="566">
        <v>366623</v>
      </c>
      <c r="E421" s="396">
        <v>13</v>
      </c>
      <c r="F421" s="376">
        <f t="shared" si="27"/>
        <v>0</v>
      </c>
      <c r="G421" s="377">
        <f t="shared" si="28"/>
        <v>0</v>
      </c>
      <c r="H421" s="411"/>
      <c r="I421" s="412"/>
      <c r="J421" s="411"/>
      <c r="K421" s="413"/>
      <c r="L421" s="414"/>
      <c r="M421" s="411"/>
      <c r="N421" s="411"/>
      <c r="O421" s="412"/>
      <c r="P421" s="412"/>
      <c r="Q421" s="413"/>
      <c r="R421" s="381"/>
      <c r="S421" s="390"/>
      <c r="T421" s="383">
        <f t="shared" si="29"/>
        <v>0</v>
      </c>
      <c r="U421" s="384">
        <f t="shared" si="30"/>
        <v>0</v>
      </c>
      <c r="V421" s="388"/>
      <c r="W421" s="389"/>
      <c r="X421" s="391"/>
      <c r="Y421" s="390"/>
      <c r="Z421" s="381"/>
      <c r="AA421" s="388"/>
      <c r="AB421" s="388"/>
      <c r="AC421" s="389"/>
      <c r="AD421" s="389"/>
      <c r="AE421" s="392"/>
      <c r="AF421" s="381"/>
      <c r="AG421" s="389"/>
    </row>
    <row r="422" spans="1:33" s="404" customFormat="1" ht="12.75" customHeight="1">
      <c r="A422" s="560" t="s">
        <v>326</v>
      </c>
      <c r="B422" s="564" t="s">
        <v>943</v>
      </c>
      <c r="C422" s="565"/>
      <c r="D422" s="566">
        <v>407601</v>
      </c>
      <c r="E422" s="396">
        <v>13</v>
      </c>
      <c r="F422" s="376">
        <f t="shared" si="27"/>
        <v>0</v>
      </c>
      <c r="G422" s="377">
        <f t="shared" si="28"/>
        <v>0</v>
      </c>
      <c r="H422" s="411"/>
      <c r="I422" s="412"/>
      <c r="J422" s="411"/>
      <c r="K422" s="413"/>
      <c r="L422" s="414"/>
      <c r="M422" s="411"/>
      <c r="N422" s="411"/>
      <c r="O422" s="412"/>
      <c r="P422" s="412"/>
      <c r="Q422" s="413"/>
      <c r="R422" s="381"/>
      <c r="S422" s="390"/>
      <c r="T422" s="383">
        <f t="shared" si="29"/>
        <v>0</v>
      </c>
      <c r="U422" s="384">
        <f t="shared" si="30"/>
        <v>0</v>
      </c>
      <c r="V422" s="388"/>
      <c r="W422" s="389"/>
      <c r="X422" s="391"/>
      <c r="Y422" s="390"/>
      <c r="Z422" s="381"/>
      <c r="AA422" s="388"/>
      <c r="AB422" s="388"/>
      <c r="AC422" s="389"/>
      <c r="AD422" s="389"/>
      <c r="AE422" s="392"/>
      <c r="AF422" s="381"/>
      <c r="AG422" s="389"/>
    </row>
    <row r="423" spans="1:33" s="404" customFormat="1" ht="12.75" customHeight="1">
      <c r="A423" s="560" t="s">
        <v>326</v>
      </c>
      <c r="B423" s="564" t="s">
        <v>944</v>
      </c>
      <c r="C423" s="565"/>
      <c r="D423" s="566">
        <v>364627</v>
      </c>
      <c r="E423" s="396">
        <v>13</v>
      </c>
      <c r="F423" s="376">
        <f t="shared" si="27"/>
        <v>0</v>
      </c>
      <c r="G423" s="377">
        <f t="shared" si="28"/>
        <v>0</v>
      </c>
      <c r="H423" s="411"/>
      <c r="I423" s="412"/>
      <c r="J423" s="411"/>
      <c r="K423" s="413"/>
      <c r="L423" s="414"/>
      <c r="M423" s="411"/>
      <c r="N423" s="411"/>
      <c r="O423" s="412"/>
      <c r="P423" s="412"/>
      <c r="Q423" s="413"/>
      <c r="R423" s="381"/>
      <c r="S423" s="390"/>
      <c r="T423" s="383">
        <f t="shared" si="29"/>
        <v>0</v>
      </c>
      <c r="U423" s="384">
        <f t="shared" si="30"/>
        <v>0</v>
      </c>
      <c r="V423" s="388"/>
      <c r="W423" s="389"/>
      <c r="X423" s="391"/>
      <c r="Y423" s="390"/>
      <c r="Z423" s="381"/>
      <c r="AA423" s="388"/>
      <c r="AB423" s="388"/>
      <c r="AC423" s="389"/>
      <c r="AD423" s="389"/>
      <c r="AE423" s="392"/>
      <c r="AF423" s="381"/>
      <c r="AG423" s="389"/>
    </row>
    <row r="424" spans="1:33" s="404" customFormat="1" ht="12.75" customHeight="1">
      <c r="A424" s="560" t="s">
        <v>326</v>
      </c>
      <c r="B424" s="564" t="s">
        <v>945</v>
      </c>
      <c r="C424" s="565"/>
      <c r="D424" s="566">
        <v>206905</v>
      </c>
      <c r="E424" s="396">
        <v>13</v>
      </c>
      <c r="F424" s="376">
        <f t="shared" si="27"/>
        <v>0</v>
      </c>
      <c r="G424" s="377">
        <f t="shared" si="28"/>
        <v>0</v>
      </c>
      <c r="H424" s="411"/>
      <c r="I424" s="412"/>
      <c r="J424" s="411"/>
      <c r="K424" s="413"/>
      <c r="L424" s="414"/>
      <c r="M424" s="411"/>
      <c r="N424" s="411"/>
      <c r="O424" s="412"/>
      <c r="P424" s="412"/>
      <c r="Q424" s="413"/>
      <c r="R424" s="381"/>
      <c r="S424" s="390"/>
      <c r="T424" s="383">
        <f t="shared" si="29"/>
        <v>0</v>
      </c>
      <c r="U424" s="384">
        <f t="shared" si="30"/>
        <v>0</v>
      </c>
      <c r="V424" s="388"/>
      <c r="W424" s="389"/>
      <c r="X424" s="391"/>
      <c r="Y424" s="390"/>
      <c r="Z424" s="381"/>
      <c r="AA424" s="388"/>
      <c r="AB424" s="388"/>
      <c r="AC424" s="389"/>
      <c r="AD424" s="389"/>
      <c r="AE424" s="392"/>
      <c r="AF424" s="381"/>
      <c r="AG424" s="389"/>
    </row>
    <row r="425" spans="1:33" s="404" customFormat="1" ht="12.75" customHeight="1">
      <c r="A425" s="560" t="s">
        <v>326</v>
      </c>
      <c r="B425" s="564" t="s">
        <v>946</v>
      </c>
      <c r="C425" s="565"/>
      <c r="D425" s="566">
        <v>250993</v>
      </c>
      <c r="E425" s="396">
        <v>13</v>
      </c>
      <c r="F425" s="376">
        <f t="shared" si="27"/>
        <v>0</v>
      </c>
      <c r="G425" s="377">
        <f t="shared" si="28"/>
        <v>0</v>
      </c>
      <c r="H425" s="411"/>
      <c r="I425" s="412"/>
      <c r="J425" s="411"/>
      <c r="K425" s="413"/>
      <c r="L425" s="414"/>
      <c r="M425" s="411"/>
      <c r="N425" s="411"/>
      <c r="O425" s="412"/>
      <c r="P425" s="412"/>
      <c r="Q425" s="413"/>
      <c r="R425" s="381"/>
      <c r="S425" s="390"/>
      <c r="T425" s="383">
        <f t="shared" si="29"/>
        <v>0</v>
      </c>
      <c r="U425" s="384">
        <f t="shared" si="30"/>
        <v>0</v>
      </c>
      <c r="V425" s="388"/>
      <c r="W425" s="389"/>
      <c r="X425" s="391"/>
      <c r="Y425" s="390"/>
      <c r="Z425" s="381"/>
      <c r="AA425" s="388"/>
      <c r="AB425" s="388"/>
      <c r="AC425" s="389"/>
      <c r="AD425" s="389"/>
      <c r="AE425" s="392"/>
      <c r="AF425" s="381"/>
      <c r="AG425" s="389"/>
    </row>
    <row r="426" spans="1:33" s="404" customFormat="1" ht="12.75" customHeight="1">
      <c r="A426" s="560" t="s">
        <v>326</v>
      </c>
      <c r="B426" s="564" t="s">
        <v>947</v>
      </c>
      <c r="C426" s="565"/>
      <c r="D426" s="566">
        <v>365198</v>
      </c>
      <c r="E426" s="396">
        <v>13</v>
      </c>
      <c r="F426" s="376">
        <f t="shared" si="27"/>
        <v>0</v>
      </c>
      <c r="G426" s="377">
        <f t="shared" si="28"/>
        <v>0</v>
      </c>
      <c r="H426" s="411"/>
      <c r="I426" s="412"/>
      <c r="J426" s="411"/>
      <c r="K426" s="413"/>
      <c r="L426" s="414"/>
      <c r="M426" s="411"/>
      <c r="N426" s="411"/>
      <c r="O426" s="412"/>
      <c r="P426" s="412"/>
      <c r="Q426" s="413"/>
      <c r="R426" s="381"/>
      <c r="S426" s="390"/>
      <c r="T426" s="383">
        <f t="shared" si="29"/>
        <v>0</v>
      </c>
      <c r="U426" s="384">
        <f t="shared" si="30"/>
        <v>0</v>
      </c>
      <c r="V426" s="388"/>
      <c r="W426" s="389"/>
      <c r="X426" s="391"/>
      <c r="Y426" s="390"/>
      <c r="Z426" s="381"/>
      <c r="AA426" s="388"/>
      <c r="AB426" s="388"/>
      <c r="AC426" s="389"/>
      <c r="AD426" s="389"/>
      <c r="AE426" s="392"/>
      <c r="AF426" s="381"/>
      <c r="AG426" s="389"/>
    </row>
    <row r="427" spans="1:33" s="404" customFormat="1" ht="12.75" customHeight="1">
      <c r="A427" s="560" t="s">
        <v>326</v>
      </c>
      <c r="B427" s="564" t="s">
        <v>948</v>
      </c>
      <c r="C427" s="565"/>
      <c r="D427" s="566">
        <v>368364</v>
      </c>
      <c r="E427" s="396">
        <v>13</v>
      </c>
      <c r="F427" s="376">
        <f t="shared" si="27"/>
        <v>0</v>
      </c>
      <c r="G427" s="377">
        <f t="shared" si="28"/>
        <v>0</v>
      </c>
      <c r="H427" s="411"/>
      <c r="I427" s="412"/>
      <c r="J427" s="411"/>
      <c r="K427" s="413"/>
      <c r="L427" s="414"/>
      <c r="M427" s="411"/>
      <c r="N427" s="411"/>
      <c r="O427" s="412"/>
      <c r="P427" s="412"/>
      <c r="Q427" s="413"/>
      <c r="R427" s="381"/>
      <c r="S427" s="390"/>
      <c r="T427" s="383">
        <f t="shared" si="29"/>
        <v>0</v>
      </c>
      <c r="U427" s="384">
        <f t="shared" si="30"/>
        <v>0</v>
      </c>
      <c r="V427" s="388"/>
      <c r="W427" s="389"/>
      <c r="X427" s="391"/>
      <c r="Y427" s="390"/>
      <c r="Z427" s="381"/>
      <c r="AA427" s="388"/>
      <c r="AB427" s="388"/>
      <c r="AC427" s="389"/>
      <c r="AD427" s="389"/>
      <c r="AE427" s="392"/>
      <c r="AF427" s="381"/>
      <c r="AG427" s="389"/>
    </row>
    <row r="428" spans="1:33" s="404" customFormat="1" ht="12.75" customHeight="1">
      <c r="A428" s="560" t="s">
        <v>326</v>
      </c>
      <c r="B428" s="564" t="s">
        <v>949</v>
      </c>
      <c r="C428" s="565"/>
      <c r="D428" s="566">
        <v>418287</v>
      </c>
      <c r="E428" s="396">
        <v>13</v>
      </c>
      <c r="F428" s="376">
        <f t="shared" si="27"/>
        <v>0</v>
      </c>
      <c r="G428" s="377">
        <f t="shared" si="28"/>
        <v>0</v>
      </c>
      <c r="H428" s="411"/>
      <c r="I428" s="412"/>
      <c r="J428" s="411"/>
      <c r="K428" s="413"/>
      <c r="L428" s="414"/>
      <c r="M428" s="411"/>
      <c r="N428" s="411"/>
      <c r="O428" s="412"/>
      <c r="P428" s="412"/>
      <c r="Q428" s="413"/>
      <c r="R428" s="381"/>
      <c r="S428" s="390"/>
      <c r="T428" s="383">
        <f t="shared" si="29"/>
        <v>0</v>
      </c>
      <c r="U428" s="384">
        <f t="shared" si="30"/>
        <v>0</v>
      </c>
      <c r="V428" s="388"/>
      <c r="W428" s="389"/>
      <c r="X428" s="391"/>
      <c r="Y428" s="390"/>
      <c r="Z428" s="381"/>
      <c r="AA428" s="388"/>
      <c r="AB428" s="388"/>
      <c r="AC428" s="389"/>
      <c r="AD428" s="389"/>
      <c r="AE428" s="392"/>
      <c r="AF428" s="381"/>
      <c r="AG428" s="389"/>
    </row>
    <row r="429" spans="1:33" s="404" customFormat="1" ht="12.75" customHeight="1">
      <c r="A429" s="560" t="s">
        <v>326</v>
      </c>
      <c r="B429" s="564" t="s">
        <v>950</v>
      </c>
      <c r="C429" s="565"/>
      <c r="D429" s="566">
        <v>207607</v>
      </c>
      <c r="E429" s="396">
        <v>13</v>
      </c>
      <c r="F429" s="376">
        <f t="shared" si="27"/>
        <v>0</v>
      </c>
      <c r="G429" s="377">
        <f t="shared" si="28"/>
        <v>0</v>
      </c>
      <c r="H429" s="411"/>
      <c r="I429" s="412"/>
      <c r="J429" s="411"/>
      <c r="K429" s="413"/>
      <c r="L429" s="414"/>
      <c r="M429" s="411"/>
      <c r="N429" s="411"/>
      <c r="O429" s="412"/>
      <c r="P429" s="412"/>
      <c r="Q429" s="413"/>
      <c r="R429" s="381"/>
      <c r="S429" s="390"/>
      <c r="T429" s="383">
        <f t="shared" si="29"/>
        <v>0</v>
      </c>
      <c r="U429" s="384">
        <f t="shared" si="30"/>
        <v>0</v>
      </c>
      <c r="V429" s="388"/>
      <c r="W429" s="389"/>
      <c r="X429" s="391"/>
      <c r="Y429" s="390"/>
      <c r="Z429" s="381"/>
      <c r="AA429" s="388"/>
      <c r="AB429" s="388"/>
      <c r="AC429" s="389"/>
      <c r="AD429" s="389"/>
      <c r="AE429" s="392"/>
      <c r="AF429" s="381"/>
      <c r="AG429" s="389"/>
    </row>
    <row r="430" spans="1:33" s="404" customFormat="1" ht="12.75" customHeight="1">
      <c r="A430" s="560" t="s">
        <v>326</v>
      </c>
      <c r="B430" s="564" t="s">
        <v>951</v>
      </c>
      <c r="C430" s="565"/>
      <c r="D430" s="566">
        <v>261375</v>
      </c>
      <c r="E430" s="396">
        <v>13</v>
      </c>
      <c r="F430" s="376">
        <f t="shared" si="27"/>
        <v>0</v>
      </c>
      <c r="G430" s="377">
        <f t="shared" si="28"/>
        <v>0</v>
      </c>
      <c r="H430" s="411"/>
      <c r="I430" s="412"/>
      <c r="J430" s="411"/>
      <c r="K430" s="413"/>
      <c r="L430" s="414"/>
      <c r="M430" s="411"/>
      <c r="N430" s="411"/>
      <c r="O430" s="412"/>
      <c r="P430" s="412"/>
      <c r="Q430" s="413"/>
      <c r="R430" s="381"/>
      <c r="S430" s="390"/>
      <c r="T430" s="383">
        <f t="shared" si="29"/>
        <v>0</v>
      </c>
      <c r="U430" s="384">
        <f t="shared" si="30"/>
        <v>0</v>
      </c>
      <c r="V430" s="388"/>
      <c r="W430" s="389"/>
      <c r="X430" s="391"/>
      <c r="Y430" s="390"/>
      <c r="Z430" s="381"/>
      <c r="AA430" s="388"/>
      <c r="AB430" s="388"/>
      <c r="AC430" s="389"/>
      <c r="AD430" s="389"/>
      <c r="AE430" s="392"/>
      <c r="AF430" s="381"/>
      <c r="AG430" s="389"/>
    </row>
    <row r="431" spans="1:33" s="404" customFormat="1" ht="12.75" customHeight="1">
      <c r="A431" s="560" t="s">
        <v>326</v>
      </c>
      <c r="B431" s="564" t="s">
        <v>952</v>
      </c>
      <c r="C431" s="565"/>
      <c r="D431" s="566">
        <v>261384</v>
      </c>
      <c r="E431" s="396">
        <v>13</v>
      </c>
      <c r="F431" s="376">
        <f t="shared" si="27"/>
        <v>0</v>
      </c>
      <c r="G431" s="377">
        <f t="shared" si="28"/>
        <v>0</v>
      </c>
      <c r="H431" s="411"/>
      <c r="I431" s="412"/>
      <c r="J431" s="411"/>
      <c r="K431" s="413"/>
      <c r="L431" s="414"/>
      <c r="M431" s="411"/>
      <c r="N431" s="411"/>
      <c r="O431" s="412"/>
      <c r="P431" s="412"/>
      <c r="Q431" s="413"/>
      <c r="R431" s="381"/>
      <c r="S431" s="390"/>
      <c r="T431" s="383">
        <f t="shared" si="29"/>
        <v>0</v>
      </c>
      <c r="U431" s="384">
        <f t="shared" si="30"/>
        <v>0</v>
      </c>
      <c r="V431" s="388"/>
      <c r="W431" s="389"/>
      <c r="X431" s="391"/>
      <c r="Y431" s="390"/>
      <c r="Z431" s="381"/>
      <c r="AA431" s="388"/>
      <c r="AB431" s="388"/>
      <c r="AC431" s="389"/>
      <c r="AD431" s="389"/>
      <c r="AE431" s="392"/>
      <c r="AF431" s="381"/>
      <c r="AG431" s="389"/>
    </row>
    <row r="432" spans="1:33" s="404" customFormat="1" ht="12.75" customHeight="1">
      <c r="A432" s="560" t="s">
        <v>326</v>
      </c>
      <c r="B432" s="564" t="s">
        <v>953</v>
      </c>
      <c r="C432" s="565"/>
      <c r="D432" s="566">
        <v>418357</v>
      </c>
      <c r="E432" s="396">
        <v>13</v>
      </c>
      <c r="F432" s="376">
        <f t="shared" si="27"/>
        <v>0</v>
      </c>
      <c r="G432" s="377">
        <f t="shared" si="28"/>
        <v>0</v>
      </c>
      <c r="H432" s="411"/>
      <c r="I432" s="412"/>
      <c r="J432" s="411"/>
      <c r="K432" s="413"/>
      <c r="L432" s="414"/>
      <c r="M432" s="411"/>
      <c r="N432" s="411"/>
      <c r="O432" s="412"/>
      <c r="P432" s="412"/>
      <c r="Q432" s="413"/>
      <c r="R432" s="381"/>
      <c r="S432" s="390"/>
      <c r="T432" s="383">
        <f t="shared" si="29"/>
        <v>0</v>
      </c>
      <c r="U432" s="384">
        <f t="shared" si="30"/>
        <v>0</v>
      </c>
      <c r="V432" s="388"/>
      <c r="W432" s="389"/>
      <c r="X432" s="391"/>
      <c r="Y432" s="390"/>
      <c r="Z432" s="381"/>
      <c r="AA432" s="388"/>
      <c r="AB432" s="388"/>
      <c r="AC432" s="389"/>
      <c r="AD432" s="389"/>
      <c r="AE432" s="392"/>
      <c r="AF432" s="381"/>
      <c r="AG432" s="389"/>
    </row>
    <row r="433" spans="1:33" s="404" customFormat="1" ht="12.75" customHeight="1">
      <c r="A433" s="560" t="s">
        <v>326</v>
      </c>
      <c r="B433" s="564" t="s">
        <v>954</v>
      </c>
      <c r="C433" s="565"/>
      <c r="D433" s="566">
        <v>418302</v>
      </c>
      <c r="E433" s="396">
        <v>13</v>
      </c>
      <c r="F433" s="376">
        <f t="shared" si="27"/>
        <v>0</v>
      </c>
      <c r="G433" s="377">
        <f t="shared" si="28"/>
        <v>0</v>
      </c>
      <c r="H433" s="411"/>
      <c r="I433" s="412"/>
      <c r="J433" s="411"/>
      <c r="K433" s="413"/>
      <c r="L433" s="414"/>
      <c r="M433" s="411"/>
      <c r="N433" s="411"/>
      <c r="O433" s="412"/>
      <c r="P433" s="412"/>
      <c r="Q433" s="413"/>
      <c r="R433" s="381"/>
      <c r="S433" s="390"/>
      <c r="T433" s="383">
        <f t="shared" si="29"/>
        <v>0</v>
      </c>
      <c r="U433" s="384">
        <f t="shared" si="30"/>
        <v>0</v>
      </c>
      <c r="V433" s="388"/>
      <c r="W433" s="389"/>
      <c r="X433" s="391"/>
      <c r="Y433" s="390"/>
      <c r="Z433" s="381"/>
      <c r="AA433" s="388"/>
      <c r="AB433" s="388"/>
      <c r="AC433" s="389"/>
      <c r="AD433" s="389"/>
      <c r="AE433" s="392"/>
      <c r="AF433" s="381"/>
      <c r="AG433" s="389"/>
    </row>
    <row r="434" spans="1:33" s="404" customFormat="1" ht="12.75" customHeight="1">
      <c r="A434" s="567" t="s">
        <v>326</v>
      </c>
      <c r="B434" s="568" t="s">
        <v>955</v>
      </c>
      <c r="C434" s="569" t="s">
        <v>956</v>
      </c>
      <c r="D434" s="570">
        <v>456560</v>
      </c>
      <c r="E434" s="571">
        <v>99</v>
      </c>
      <c r="F434" s="376">
        <f t="shared" si="27"/>
        <v>0</v>
      </c>
      <c r="G434" s="377">
        <f t="shared" si="28"/>
        <v>0</v>
      </c>
      <c r="H434" s="411"/>
      <c r="I434" s="412"/>
      <c r="J434" s="411"/>
      <c r="K434" s="413"/>
      <c r="L434" s="414"/>
      <c r="M434" s="411"/>
      <c r="N434" s="411"/>
      <c r="O434" s="412"/>
      <c r="P434" s="412"/>
      <c r="Q434" s="413"/>
      <c r="R434" s="381"/>
      <c r="S434" s="390"/>
      <c r="T434" s="383">
        <f t="shared" si="29"/>
        <v>0</v>
      </c>
      <c r="U434" s="384">
        <f t="shared" si="30"/>
        <v>0</v>
      </c>
      <c r="V434" s="388"/>
      <c r="W434" s="389"/>
      <c r="X434" s="391"/>
      <c r="Y434" s="390"/>
      <c r="Z434" s="381"/>
      <c r="AA434" s="388"/>
      <c r="AB434" s="388"/>
      <c r="AC434" s="389"/>
      <c r="AD434" s="389"/>
      <c r="AE434" s="392"/>
      <c r="AF434" s="381"/>
      <c r="AG434" s="389"/>
    </row>
    <row r="435" spans="1:33" s="404" customFormat="1" ht="12.75" customHeight="1">
      <c r="A435" s="479" t="s">
        <v>354</v>
      </c>
      <c r="B435" s="480" t="s">
        <v>355</v>
      </c>
      <c r="C435" s="480"/>
      <c r="D435" s="479">
        <v>217882</v>
      </c>
      <c r="E435" s="481">
        <v>1</v>
      </c>
      <c r="F435" s="376">
        <f t="shared" si="27"/>
        <v>456359</v>
      </c>
      <c r="G435" s="377">
        <f t="shared" si="28"/>
        <v>467392</v>
      </c>
      <c r="H435" s="388">
        <v>426379</v>
      </c>
      <c r="I435" s="389">
        <v>434260</v>
      </c>
      <c r="J435" s="388">
        <v>3564</v>
      </c>
      <c r="K435" s="390">
        <v>5322</v>
      </c>
      <c r="L435" s="381">
        <v>26416</v>
      </c>
      <c r="M435" s="388"/>
      <c r="N435" s="388"/>
      <c r="O435" s="389">
        <v>27810</v>
      </c>
      <c r="P435" s="389"/>
      <c r="Q435" s="390"/>
      <c r="R435" s="381"/>
      <c r="S435" s="390"/>
      <c r="T435" s="383">
        <f t="shared" si="29"/>
        <v>67757</v>
      </c>
      <c r="U435" s="384">
        <f t="shared" si="30"/>
        <v>73789</v>
      </c>
      <c r="V435" s="388">
        <v>53863</v>
      </c>
      <c r="W435" s="389">
        <v>57420</v>
      </c>
      <c r="X435" s="391">
        <v>10060</v>
      </c>
      <c r="Y435" s="390">
        <v>11411</v>
      </c>
      <c r="Z435" s="381">
        <v>3834</v>
      </c>
      <c r="AA435" s="388"/>
      <c r="AB435" s="388"/>
      <c r="AC435" s="389">
        <v>4958</v>
      </c>
      <c r="AD435" s="389"/>
      <c r="AE435" s="392"/>
      <c r="AF435" s="381"/>
      <c r="AG435" s="389"/>
    </row>
    <row r="436" spans="1:33" s="404" customFormat="1" ht="12.75" customHeight="1">
      <c r="A436" s="479" t="s">
        <v>354</v>
      </c>
      <c r="B436" s="480" t="s">
        <v>356</v>
      </c>
      <c r="C436" s="480"/>
      <c r="D436" s="479">
        <v>218663</v>
      </c>
      <c r="E436" s="481">
        <v>1</v>
      </c>
      <c r="F436" s="376">
        <f t="shared" si="27"/>
        <v>602301</v>
      </c>
      <c r="G436" s="377">
        <f t="shared" si="28"/>
        <v>628870</v>
      </c>
      <c r="H436" s="388">
        <v>578438</v>
      </c>
      <c r="I436" s="389">
        <v>596746</v>
      </c>
      <c r="J436" s="388">
        <v>14337</v>
      </c>
      <c r="K436" s="390">
        <v>17350</v>
      </c>
      <c r="L436" s="381">
        <v>3712</v>
      </c>
      <c r="M436" s="388">
        <v>2398</v>
      </c>
      <c r="N436" s="388">
        <v>3416</v>
      </c>
      <c r="O436" s="389">
        <v>10183</v>
      </c>
      <c r="P436" s="389">
        <v>3506</v>
      </c>
      <c r="Q436" s="390">
        <v>1085</v>
      </c>
      <c r="R436" s="381"/>
      <c r="S436" s="390"/>
      <c r="T436" s="383">
        <f t="shared" si="29"/>
        <v>111336</v>
      </c>
      <c r="U436" s="384">
        <f t="shared" si="30"/>
        <v>116559</v>
      </c>
      <c r="V436" s="388">
        <v>71097</v>
      </c>
      <c r="W436" s="389">
        <v>74601</v>
      </c>
      <c r="X436" s="391">
        <v>9844</v>
      </c>
      <c r="Y436" s="390">
        <v>9276</v>
      </c>
      <c r="Z436" s="381">
        <v>22864</v>
      </c>
      <c r="AA436" s="388"/>
      <c r="AB436" s="388">
        <v>7531</v>
      </c>
      <c r="AC436" s="389">
        <v>29956</v>
      </c>
      <c r="AD436" s="389">
        <v>474</v>
      </c>
      <c r="AE436" s="392">
        <v>2252</v>
      </c>
      <c r="AF436" s="381"/>
      <c r="AG436" s="389"/>
    </row>
    <row r="437" spans="1:33" s="404" customFormat="1" ht="12.75" customHeight="1">
      <c r="A437" s="479" t="s">
        <v>354</v>
      </c>
      <c r="B437" s="480" t="s">
        <v>357</v>
      </c>
      <c r="C437" s="480"/>
      <c r="D437" s="479">
        <v>217819</v>
      </c>
      <c r="E437" s="481">
        <v>3</v>
      </c>
      <c r="F437" s="376">
        <f t="shared" si="27"/>
        <v>289361</v>
      </c>
      <c r="G437" s="377">
        <f t="shared" si="28"/>
        <v>294793</v>
      </c>
      <c r="H437" s="388">
        <v>289274</v>
      </c>
      <c r="I437" s="389">
        <v>294499</v>
      </c>
      <c r="J437" s="388">
        <v>87</v>
      </c>
      <c r="K437" s="390">
        <v>294</v>
      </c>
      <c r="L437" s="381"/>
      <c r="M437" s="388"/>
      <c r="N437" s="388"/>
      <c r="O437" s="389"/>
      <c r="P437" s="389"/>
      <c r="Q437" s="390"/>
      <c r="R437" s="381"/>
      <c r="S437" s="390"/>
      <c r="T437" s="383">
        <f t="shared" si="29"/>
        <v>18619</v>
      </c>
      <c r="U437" s="384">
        <f t="shared" si="30"/>
        <v>18228</v>
      </c>
      <c r="V437" s="388">
        <v>12285</v>
      </c>
      <c r="W437" s="389">
        <v>13057</v>
      </c>
      <c r="X437" s="391">
        <v>6241</v>
      </c>
      <c r="Y437" s="390">
        <v>4911</v>
      </c>
      <c r="Z437" s="381">
        <v>93</v>
      </c>
      <c r="AA437" s="388"/>
      <c r="AB437" s="388"/>
      <c r="AC437" s="389">
        <v>122</v>
      </c>
      <c r="AD437" s="389"/>
      <c r="AE437" s="392">
        <v>138</v>
      </c>
      <c r="AF437" s="381"/>
      <c r="AG437" s="389"/>
    </row>
    <row r="438" spans="1:33" s="404" customFormat="1" ht="12.75" customHeight="1">
      <c r="A438" s="479" t="s">
        <v>354</v>
      </c>
      <c r="B438" s="480" t="s">
        <v>358</v>
      </c>
      <c r="C438" s="480"/>
      <c r="D438" s="479">
        <v>218964</v>
      </c>
      <c r="E438" s="481">
        <v>3</v>
      </c>
      <c r="F438" s="376">
        <f t="shared" si="27"/>
        <v>143947</v>
      </c>
      <c r="G438" s="377">
        <f t="shared" si="28"/>
        <v>143586.5</v>
      </c>
      <c r="H438" s="388">
        <v>142404</v>
      </c>
      <c r="I438" s="389">
        <v>142629.5</v>
      </c>
      <c r="J438" s="388">
        <v>1543</v>
      </c>
      <c r="K438" s="390">
        <v>645</v>
      </c>
      <c r="L438" s="381"/>
      <c r="M438" s="388"/>
      <c r="N438" s="388"/>
      <c r="O438" s="389">
        <v>312</v>
      </c>
      <c r="P438" s="389"/>
      <c r="Q438" s="390"/>
      <c r="R438" s="381"/>
      <c r="S438" s="390"/>
      <c r="T438" s="383">
        <f t="shared" si="29"/>
        <v>17814</v>
      </c>
      <c r="U438" s="384">
        <f t="shared" si="30"/>
        <v>18159</v>
      </c>
      <c r="V438" s="388">
        <v>15192</v>
      </c>
      <c r="W438" s="389">
        <v>15896</v>
      </c>
      <c r="X438" s="391">
        <v>2622</v>
      </c>
      <c r="Y438" s="390">
        <v>2032</v>
      </c>
      <c r="Z438" s="381"/>
      <c r="AA438" s="388"/>
      <c r="AB438" s="388"/>
      <c r="AC438" s="389">
        <v>231</v>
      </c>
      <c r="AD438" s="389"/>
      <c r="AE438" s="392"/>
      <c r="AF438" s="381"/>
      <c r="AG438" s="389"/>
    </row>
    <row r="439" spans="1:33" s="404" customFormat="1" ht="12.75" customHeight="1">
      <c r="A439" s="479" t="s">
        <v>354</v>
      </c>
      <c r="B439" s="480" t="s">
        <v>359</v>
      </c>
      <c r="C439" s="480"/>
      <c r="D439" s="479">
        <v>217864</v>
      </c>
      <c r="E439" s="481">
        <v>4</v>
      </c>
      <c r="F439" s="376">
        <f t="shared" si="27"/>
        <v>83574</v>
      </c>
      <c r="G439" s="377">
        <f t="shared" si="28"/>
        <v>85876</v>
      </c>
      <c r="H439" s="388">
        <v>83277</v>
      </c>
      <c r="I439" s="389">
        <v>85420</v>
      </c>
      <c r="J439" s="388">
        <v>189</v>
      </c>
      <c r="K439" s="390">
        <v>237</v>
      </c>
      <c r="L439" s="381">
        <v>108</v>
      </c>
      <c r="M439" s="388"/>
      <c r="N439" s="388"/>
      <c r="O439" s="389">
        <v>219</v>
      </c>
      <c r="P439" s="389"/>
      <c r="Q439" s="390"/>
      <c r="R439" s="381"/>
      <c r="S439" s="390"/>
      <c r="T439" s="383">
        <f t="shared" si="29"/>
        <v>15590</v>
      </c>
      <c r="U439" s="384">
        <f t="shared" si="30"/>
        <v>15502</v>
      </c>
      <c r="V439" s="388">
        <v>14030</v>
      </c>
      <c r="W439" s="389">
        <v>14686</v>
      </c>
      <c r="X439" s="391">
        <v>981</v>
      </c>
      <c r="Y439" s="390">
        <v>579</v>
      </c>
      <c r="Z439" s="381">
        <v>579</v>
      </c>
      <c r="AA439" s="388"/>
      <c r="AB439" s="388"/>
      <c r="AC439" s="389">
        <v>237</v>
      </c>
      <c r="AD439" s="389"/>
      <c r="AE439" s="392"/>
      <c r="AF439" s="381"/>
      <c r="AG439" s="389"/>
    </row>
    <row r="440" spans="1:33" s="404" customFormat="1" ht="12.75" customHeight="1">
      <c r="A440" s="479" t="s">
        <v>354</v>
      </c>
      <c r="B440" s="480" t="s">
        <v>360</v>
      </c>
      <c r="C440" s="480"/>
      <c r="D440" s="479">
        <v>218724</v>
      </c>
      <c r="E440" s="481">
        <v>5</v>
      </c>
      <c r="F440" s="376">
        <f t="shared" si="27"/>
        <v>222498</v>
      </c>
      <c r="G440" s="377">
        <f t="shared" si="28"/>
        <v>236506</v>
      </c>
      <c r="H440" s="388">
        <v>213939</v>
      </c>
      <c r="I440" s="389">
        <v>225585</v>
      </c>
      <c r="J440" s="388">
        <v>1309</v>
      </c>
      <c r="K440" s="390">
        <v>2531</v>
      </c>
      <c r="L440" s="381">
        <v>7250</v>
      </c>
      <c r="M440" s="388"/>
      <c r="N440" s="388"/>
      <c r="O440" s="389">
        <v>8390</v>
      </c>
      <c r="P440" s="389"/>
      <c r="Q440" s="390"/>
      <c r="R440" s="381"/>
      <c r="S440" s="390"/>
      <c r="T440" s="383">
        <f t="shared" si="29"/>
        <v>7506</v>
      </c>
      <c r="U440" s="384">
        <f t="shared" si="30"/>
        <v>9490</v>
      </c>
      <c r="V440" s="388">
        <v>4149</v>
      </c>
      <c r="W440" s="389">
        <v>4434</v>
      </c>
      <c r="X440" s="391">
        <v>1146</v>
      </c>
      <c r="Y440" s="390">
        <v>2725</v>
      </c>
      <c r="Z440" s="381">
        <v>2211</v>
      </c>
      <c r="AA440" s="388"/>
      <c r="AB440" s="388"/>
      <c r="AC440" s="389">
        <v>2331</v>
      </c>
      <c r="AD440" s="389"/>
      <c r="AE440" s="392"/>
      <c r="AF440" s="381"/>
      <c r="AG440" s="389"/>
    </row>
    <row r="441" spans="1:33" s="404" customFormat="1" ht="12.75" customHeight="1">
      <c r="A441" s="479" t="s">
        <v>354</v>
      </c>
      <c r="B441" s="480" t="s">
        <v>361</v>
      </c>
      <c r="C441" s="480"/>
      <c r="D441" s="479">
        <v>218061</v>
      </c>
      <c r="E441" s="481">
        <v>5</v>
      </c>
      <c r="F441" s="376">
        <f t="shared" si="27"/>
        <v>98637</v>
      </c>
      <c r="G441" s="377">
        <f t="shared" si="28"/>
        <v>103303</v>
      </c>
      <c r="H441" s="388">
        <v>98585</v>
      </c>
      <c r="I441" s="389">
        <v>103157</v>
      </c>
      <c r="J441" s="388">
        <v>52</v>
      </c>
      <c r="K441" s="390">
        <v>140</v>
      </c>
      <c r="L441" s="381"/>
      <c r="M441" s="388"/>
      <c r="N441" s="388"/>
      <c r="O441" s="389">
        <v>6</v>
      </c>
      <c r="P441" s="389"/>
      <c r="Q441" s="390"/>
      <c r="R441" s="381"/>
      <c r="S441" s="390"/>
      <c r="T441" s="383">
        <f t="shared" si="29"/>
        <v>4366</v>
      </c>
      <c r="U441" s="384">
        <f t="shared" si="30"/>
        <v>4469</v>
      </c>
      <c r="V441" s="388">
        <v>2257</v>
      </c>
      <c r="W441" s="389">
        <v>2897</v>
      </c>
      <c r="X441" s="391">
        <v>2109</v>
      </c>
      <c r="Y441" s="390">
        <v>1563</v>
      </c>
      <c r="Z441" s="381"/>
      <c r="AA441" s="388"/>
      <c r="AB441" s="388"/>
      <c r="AC441" s="389">
        <v>9</v>
      </c>
      <c r="AD441" s="389"/>
      <c r="AE441" s="392"/>
      <c r="AF441" s="381"/>
      <c r="AG441" s="389"/>
    </row>
    <row r="442" spans="1:33" s="404" customFormat="1" ht="12.75" customHeight="1">
      <c r="A442" s="479" t="s">
        <v>354</v>
      </c>
      <c r="B442" s="480" t="s">
        <v>363</v>
      </c>
      <c r="C442" s="480"/>
      <c r="D442" s="479">
        <v>218733</v>
      </c>
      <c r="E442" s="481">
        <v>5</v>
      </c>
      <c r="F442" s="376">
        <f t="shared" si="27"/>
        <v>118626</v>
      </c>
      <c r="G442" s="377">
        <f t="shared" si="28"/>
        <v>115174</v>
      </c>
      <c r="H442" s="388">
        <v>116127</v>
      </c>
      <c r="I442" s="389">
        <v>113401.53</v>
      </c>
      <c r="J442" s="388">
        <v>281</v>
      </c>
      <c r="K442" s="390">
        <v>0</v>
      </c>
      <c r="L442" s="381">
        <v>2218</v>
      </c>
      <c r="M442" s="388"/>
      <c r="N442" s="388"/>
      <c r="O442" s="389">
        <v>1483.47</v>
      </c>
      <c r="P442" s="389"/>
      <c r="Q442" s="390">
        <v>289</v>
      </c>
      <c r="R442" s="381"/>
      <c r="S442" s="390"/>
      <c r="T442" s="383">
        <f t="shared" si="29"/>
        <v>11693</v>
      </c>
      <c r="U442" s="384">
        <f t="shared" si="30"/>
        <v>11075</v>
      </c>
      <c r="V442" s="388">
        <v>8878</v>
      </c>
      <c r="W442" s="389">
        <v>10358</v>
      </c>
      <c r="X442" s="391">
        <v>79</v>
      </c>
      <c r="Y442" s="390"/>
      <c r="Z442" s="381">
        <v>2736</v>
      </c>
      <c r="AA442" s="388"/>
      <c r="AB442" s="388"/>
      <c r="AC442" s="389">
        <v>717</v>
      </c>
      <c r="AD442" s="389"/>
      <c r="AE442" s="392"/>
      <c r="AF442" s="381"/>
      <c r="AG442" s="389"/>
    </row>
    <row r="443" spans="1:33" s="404" customFormat="1" ht="12.75" customHeight="1">
      <c r="A443" s="479" t="s">
        <v>354</v>
      </c>
      <c r="B443" s="480" t="s">
        <v>362</v>
      </c>
      <c r="C443" s="532" t="s">
        <v>783</v>
      </c>
      <c r="D443" s="479">
        <v>218229</v>
      </c>
      <c r="E443" s="482">
        <v>6</v>
      </c>
      <c r="F443" s="376">
        <f t="shared" si="27"/>
        <v>76101</v>
      </c>
      <c r="G443" s="377">
        <f t="shared" si="28"/>
        <v>82796.5</v>
      </c>
      <c r="H443" s="388">
        <v>71575</v>
      </c>
      <c r="I443" s="389">
        <v>77111.5</v>
      </c>
      <c r="J443" s="388">
        <v>453</v>
      </c>
      <c r="K443" s="390">
        <v>310</v>
      </c>
      <c r="L443" s="381">
        <v>3647</v>
      </c>
      <c r="M443" s="388">
        <v>426</v>
      </c>
      <c r="N443" s="388"/>
      <c r="O443" s="389">
        <v>5224</v>
      </c>
      <c r="P443" s="389">
        <v>151</v>
      </c>
      <c r="Q443" s="390"/>
      <c r="R443" s="381"/>
      <c r="S443" s="390"/>
      <c r="T443" s="383">
        <f t="shared" si="29"/>
        <v>1434</v>
      </c>
      <c r="U443" s="384">
        <f t="shared" si="30"/>
        <v>1854</v>
      </c>
      <c r="V443" s="388">
        <v>741</v>
      </c>
      <c r="W443" s="389">
        <v>1077</v>
      </c>
      <c r="X443" s="391">
        <v>321</v>
      </c>
      <c r="Y443" s="390">
        <v>306</v>
      </c>
      <c r="Z443" s="381">
        <v>372</v>
      </c>
      <c r="AA443" s="388"/>
      <c r="AB443" s="388"/>
      <c r="AC443" s="389">
        <v>471</v>
      </c>
      <c r="AD443" s="389"/>
      <c r="AE443" s="392"/>
      <c r="AF443" s="381"/>
      <c r="AG443" s="389"/>
    </row>
    <row r="444" spans="1:33" s="404" customFormat="1" ht="12.75" customHeight="1">
      <c r="A444" s="479" t="s">
        <v>354</v>
      </c>
      <c r="B444" s="480" t="s">
        <v>364</v>
      </c>
      <c r="C444" s="480"/>
      <c r="D444" s="479">
        <v>218645</v>
      </c>
      <c r="E444" s="481">
        <v>6</v>
      </c>
      <c r="F444" s="376">
        <f t="shared" si="27"/>
        <v>82339</v>
      </c>
      <c r="G444" s="377">
        <f t="shared" si="28"/>
        <v>84564</v>
      </c>
      <c r="H444" s="388">
        <v>76957</v>
      </c>
      <c r="I444" s="389">
        <v>77348</v>
      </c>
      <c r="J444" s="388">
        <v>3405</v>
      </c>
      <c r="K444" s="390">
        <v>3831</v>
      </c>
      <c r="L444" s="381">
        <v>1977</v>
      </c>
      <c r="M444" s="388"/>
      <c r="N444" s="388"/>
      <c r="O444" s="389">
        <v>3385</v>
      </c>
      <c r="P444" s="389"/>
      <c r="Q444" s="390"/>
      <c r="R444" s="381"/>
      <c r="S444" s="390"/>
      <c r="T444" s="383">
        <f t="shared" si="29"/>
        <v>996</v>
      </c>
      <c r="U444" s="384">
        <f t="shared" si="30"/>
        <v>1192</v>
      </c>
      <c r="V444" s="388">
        <v>616</v>
      </c>
      <c r="W444" s="389">
        <v>565</v>
      </c>
      <c r="X444" s="391">
        <v>122</v>
      </c>
      <c r="Y444" s="390">
        <v>198</v>
      </c>
      <c r="Z444" s="381">
        <v>213</v>
      </c>
      <c r="AA444" s="388"/>
      <c r="AB444" s="388">
        <v>45</v>
      </c>
      <c r="AC444" s="389">
        <v>429</v>
      </c>
      <c r="AD444" s="389"/>
      <c r="AE444" s="392"/>
      <c r="AF444" s="381"/>
      <c r="AG444" s="389"/>
    </row>
    <row r="445" spans="1:33" s="404" customFormat="1" ht="12.75" customHeight="1">
      <c r="A445" s="479" t="s">
        <v>354</v>
      </c>
      <c r="B445" s="483" t="s">
        <v>366</v>
      </c>
      <c r="C445" s="574" t="s">
        <v>395</v>
      </c>
      <c r="D445" s="575" t="s">
        <v>851</v>
      </c>
      <c r="E445" s="482">
        <v>6</v>
      </c>
      <c r="F445" s="376">
        <f t="shared" si="27"/>
        <v>41461</v>
      </c>
      <c r="G445" s="377">
        <f t="shared" si="28"/>
        <v>45714</v>
      </c>
      <c r="H445" s="388">
        <v>36548</v>
      </c>
      <c r="I445" s="389">
        <v>39739</v>
      </c>
      <c r="J445" s="388">
        <v>4913</v>
      </c>
      <c r="K445" s="390">
        <v>5975</v>
      </c>
      <c r="L445" s="381"/>
      <c r="M445" s="388"/>
      <c r="N445" s="388"/>
      <c r="O445" s="389"/>
      <c r="P445" s="389"/>
      <c r="Q445" s="390"/>
      <c r="R445" s="381"/>
      <c r="S445" s="390"/>
      <c r="T445" s="383">
        <f t="shared" si="29"/>
        <v>0</v>
      </c>
      <c r="U445" s="384">
        <f t="shared" si="30"/>
        <v>0</v>
      </c>
      <c r="V445" s="388"/>
      <c r="W445" s="389"/>
      <c r="X445" s="391"/>
      <c r="Y445" s="390"/>
      <c r="Z445" s="381"/>
      <c r="AA445" s="388"/>
      <c r="AB445" s="388"/>
      <c r="AC445" s="389"/>
      <c r="AD445" s="389"/>
      <c r="AE445" s="392"/>
      <c r="AF445" s="381"/>
      <c r="AG445" s="389"/>
    </row>
    <row r="446" spans="1:33" s="404" customFormat="1" ht="12.75" customHeight="1">
      <c r="A446" s="479" t="s">
        <v>354</v>
      </c>
      <c r="B446" s="480" t="s">
        <v>365</v>
      </c>
      <c r="C446" s="480"/>
      <c r="D446" s="479">
        <v>218742</v>
      </c>
      <c r="E446" s="481">
        <v>6</v>
      </c>
      <c r="F446" s="376">
        <f t="shared" si="27"/>
        <v>142601</v>
      </c>
      <c r="G446" s="377">
        <f t="shared" si="28"/>
        <v>148590</v>
      </c>
      <c r="H446" s="388">
        <v>120732</v>
      </c>
      <c r="I446" s="389">
        <v>123088</v>
      </c>
      <c r="J446" s="388">
        <v>12214</v>
      </c>
      <c r="K446" s="390">
        <v>12990</v>
      </c>
      <c r="L446" s="381">
        <v>9352</v>
      </c>
      <c r="M446" s="388"/>
      <c r="N446" s="388">
        <v>303</v>
      </c>
      <c r="O446" s="389">
        <v>12344</v>
      </c>
      <c r="P446" s="389"/>
      <c r="Q446" s="390">
        <v>168</v>
      </c>
      <c r="R446" s="381"/>
      <c r="S446" s="390"/>
      <c r="T446" s="383">
        <f t="shared" si="29"/>
        <v>1345</v>
      </c>
      <c r="U446" s="384">
        <f t="shared" si="30"/>
        <v>1351</v>
      </c>
      <c r="V446" s="388">
        <v>781</v>
      </c>
      <c r="W446" s="389">
        <v>481</v>
      </c>
      <c r="X446" s="391">
        <v>231</v>
      </c>
      <c r="Y446" s="390">
        <v>312</v>
      </c>
      <c r="Z446" s="381">
        <v>333</v>
      </c>
      <c r="AA446" s="388"/>
      <c r="AB446" s="388"/>
      <c r="AC446" s="389">
        <v>495</v>
      </c>
      <c r="AD446" s="389">
        <v>9</v>
      </c>
      <c r="AE446" s="392">
        <v>54</v>
      </c>
      <c r="AF446" s="381"/>
      <c r="AG446" s="389"/>
    </row>
    <row r="447" spans="1:33" s="404" customFormat="1" ht="12.75" customHeight="1">
      <c r="A447" s="479" t="s">
        <v>354</v>
      </c>
      <c r="B447" s="480" t="s">
        <v>367</v>
      </c>
      <c r="C447" s="480"/>
      <c r="D447" s="479">
        <v>218113</v>
      </c>
      <c r="E447" s="481">
        <v>8</v>
      </c>
      <c r="F447" s="376">
        <f t="shared" si="27"/>
        <v>347720</v>
      </c>
      <c r="G447" s="377">
        <f t="shared" si="28"/>
        <v>344968</v>
      </c>
      <c r="H447" s="388">
        <v>258811</v>
      </c>
      <c r="I447" s="389">
        <v>243786</v>
      </c>
      <c r="J447" s="388">
        <v>17205</v>
      </c>
      <c r="K447" s="390">
        <v>17540</v>
      </c>
      <c r="L447" s="381">
        <v>68776</v>
      </c>
      <c r="M447" s="388">
        <v>2322</v>
      </c>
      <c r="N447" s="388">
        <v>606</v>
      </c>
      <c r="O447" s="389">
        <v>82412</v>
      </c>
      <c r="P447" s="389">
        <v>660</v>
      </c>
      <c r="Q447" s="390">
        <v>570</v>
      </c>
      <c r="R447" s="381"/>
      <c r="S447" s="390"/>
      <c r="T447" s="383">
        <f t="shared" si="29"/>
        <v>0</v>
      </c>
      <c r="U447" s="384">
        <f t="shared" si="30"/>
        <v>0</v>
      </c>
      <c r="V447" s="388"/>
      <c r="W447" s="389"/>
      <c r="X447" s="391"/>
      <c r="Y447" s="390"/>
      <c r="Z447" s="381"/>
      <c r="AA447" s="388"/>
      <c r="AB447" s="388"/>
      <c r="AC447" s="389"/>
      <c r="AD447" s="389"/>
      <c r="AE447" s="392"/>
      <c r="AF447" s="381"/>
      <c r="AG447" s="389"/>
    </row>
    <row r="448" spans="1:33" s="404" customFormat="1" ht="12.75" customHeight="1">
      <c r="A448" s="479" t="s">
        <v>354</v>
      </c>
      <c r="B448" s="480" t="s">
        <v>368</v>
      </c>
      <c r="C448" s="480"/>
      <c r="D448" s="479">
        <v>218353</v>
      </c>
      <c r="E448" s="481">
        <v>8</v>
      </c>
      <c r="F448" s="376">
        <f t="shared" si="27"/>
        <v>288919</v>
      </c>
      <c r="G448" s="377">
        <f t="shared" si="28"/>
        <v>281859</v>
      </c>
      <c r="H448" s="388">
        <v>233966</v>
      </c>
      <c r="I448" s="389">
        <v>215337</v>
      </c>
      <c r="J448" s="388">
        <v>17150</v>
      </c>
      <c r="K448" s="390">
        <v>16951</v>
      </c>
      <c r="L448" s="381">
        <v>37803</v>
      </c>
      <c r="M448" s="388"/>
      <c r="N448" s="388"/>
      <c r="O448" s="389">
        <v>49571</v>
      </c>
      <c r="P448" s="389"/>
      <c r="Q448" s="390"/>
      <c r="R448" s="381"/>
      <c r="S448" s="390"/>
      <c r="T448" s="383">
        <f t="shared" si="29"/>
        <v>0</v>
      </c>
      <c r="U448" s="384">
        <f t="shared" si="30"/>
        <v>0</v>
      </c>
      <c r="V448" s="388"/>
      <c r="W448" s="389"/>
      <c r="X448" s="391"/>
      <c r="Y448" s="390"/>
      <c r="Z448" s="381"/>
      <c r="AA448" s="388"/>
      <c r="AB448" s="388"/>
      <c r="AC448" s="389"/>
      <c r="AD448" s="389"/>
      <c r="AE448" s="392"/>
      <c r="AF448" s="381"/>
      <c r="AG448" s="389"/>
    </row>
    <row r="449" spans="1:33" s="404" customFormat="1" ht="12.75" customHeight="1">
      <c r="A449" s="479" t="s">
        <v>354</v>
      </c>
      <c r="B449" s="480" t="s">
        <v>369</v>
      </c>
      <c r="C449" s="480"/>
      <c r="D449" s="479">
        <v>218894</v>
      </c>
      <c r="E449" s="481">
        <v>8</v>
      </c>
      <c r="F449" s="376">
        <f t="shared" si="27"/>
        <v>335352</v>
      </c>
      <c r="G449" s="377">
        <f t="shared" si="28"/>
        <v>357179</v>
      </c>
      <c r="H449" s="388">
        <v>258781</v>
      </c>
      <c r="I449" s="389">
        <v>264813</v>
      </c>
      <c r="J449" s="388">
        <v>9090</v>
      </c>
      <c r="K449" s="390">
        <v>11457</v>
      </c>
      <c r="L449" s="381">
        <v>66641</v>
      </c>
      <c r="M449" s="388">
        <v>201</v>
      </c>
      <c r="N449" s="388">
        <v>639</v>
      </c>
      <c r="O449" s="389">
        <v>80909</v>
      </c>
      <c r="P449" s="389"/>
      <c r="Q449" s="390"/>
      <c r="R449" s="381"/>
      <c r="S449" s="390"/>
      <c r="T449" s="383">
        <f t="shared" si="29"/>
        <v>0</v>
      </c>
      <c r="U449" s="384">
        <f t="shared" si="30"/>
        <v>0</v>
      </c>
      <c r="V449" s="388"/>
      <c r="W449" s="389"/>
      <c r="X449" s="391"/>
      <c r="Y449" s="390"/>
      <c r="Z449" s="381"/>
      <c r="AA449" s="388"/>
      <c r="AB449" s="388"/>
      <c r="AC449" s="389"/>
      <c r="AD449" s="389"/>
      <c r="AE449" s="392"/>
      <c r="AF449" s="381"/>
      <c r="AG449" s="389"/>
    </row>
    <row r="450" spans="1:33" s="404" customFormat="1" ht="12.75" customHeight="1">
      <c r="A450" s="479" t="s">
        <v>354</v>
      </c>
      <c r="B450" s="484" t="s">
        <v>370</v>
      </c>
      <c r="C450" s="484"/>
      <c r="D450" s="479">
        <v>217615</v>
      </c>
      <c r="E450" s="481">
        <v>9</v>
      </c>
      <c r="F450" s="376">
        <f t="shared" si="27"/>
        <v>78175</v>
      </c>
      <c r="G450" s="377">
        <f t="shared" si="28"/>
        <v>75200</v>
      </c>
      <c r="H450" s="388">
        <v>63116</v>
      </c>
      <c r="I450" s="389">
        <v>58693</v>
      </c>
      <c r="J450" s="388">
        <v>4351</v>
      </c>
      <c r="K450" s="390">
        <v>4571</v>
      </c>
      <c r="L450" s="381">
        <v>10702</v>
      </c>
      <c r="M450" s="388"/>
      <c r="N450" s="388">
        <v>6</v>
      </c>
      <c r="O450" s="389">
        <v>11936</v>
      </c>
      <c r="P450" s="389"/>
      <c r="Q450" s="390"/>
      <c r="R450" s="381"/>
      <c r="S450" s="390"/>
      <c r="T450" s="383">
        <f t="shared" si="29"/>
        <v>0</v>
      </c>
      <c r="U450" s="384">
        <f t="shared" si="30"/>
        <v>0</v>
      </c>
      <c r="V450" s="388"/>
      <c r="W450" s="389"/>
      <c r="X450" s="391"/>
      <c r="Y450" s="390"/>
      <c r="Z450" s="381"/>
      <c r="AA450" s="388"/>
      <c r="AB450" s="388"/>
      <c r="AC450" s="389"/>
      <c r="AD450" s="389"/>
      <c r="AE450" s="392"/>
      <c r="AF450" s="381"/>
      <c r="AG450" s="389"/>
    </row>
    <row r="451" spans="1:33" s="404" customFormat="1" ht="12.75" customHeight="1">
      <c r="A451" s="479" t="s">
        <v>354</v>
      </c>
      <c r="B451" s="480" t="s">
        <v>371</v>
      </c>
      <c r="C451" s="480"/>
      <c r="D451" s="479">
        <v>218858</v>
      </c>
      <c r="E451" s="481">
        <v>9</v>
      </c>
      <c r="F451" s="376">
        <f t="shared" si="27"/>
        <v>82212</v>
      </c>
      <c r="G451" s="377">
        <f t="shared" si="28"/>
        <v>93068</v>
      </c>
      <c r="H451" s="388">
        <v>58541</v>
      </c>
      <c r="I451" s="389">
        <v>68067</v>
      </c>
      <c r="J451" s="388">
        <v>10162</v>
      </c>
      <c r="K451" s="390">
        <v>9497</v>
      </c>
      <c r="L451" s="381">
        <v>12862</v>
      </c>
      <c r="M451" s="388">
        <v>647</v>
      </c>
      <c r="N451" s="388"/>
      <c r="O451" s="389">
        <v>15504</v>
      </c>
      <c r="P451" s="389"/>
      <c r="Q451" s="390"/>
      <c r="R451" s="381"/>
      <c r="S451" s="390"/>
      <c r="T451" s="383">
        <f t="shared" si="29"/>
        <v>0</v>
      </c>
      <c r="U451" s="384">
        <f t="shared" si="30"/>
        <v>0</v>
      </c>
      <c r="V451" s="388"/>
      <c r="W451" s="389"/>
      <c r="X451" s="391"/>
      <c r="Y451" s="390"/>
      <c r="Z451" s="381"/>
      <c r="AA451" s="388"/>
      <c r="AB451" s="388"/>
      <c r="AC451" s="389"/>
      <c r="AD451" s="389"/>
      <c r="AE451" s="392"/>
      <c r="AF451" s="381"/>
      <c r="AG451" s="389"/>
    </row>
    <row r="452" spans="1:33" s="404" customFormat="1" ht="12.75" customHeight="1">
      <c r="A452" s="479" t="s">
        <v>354</v>
      </c>
      <c r="B452" s="572" t="s">
        <v>372</v>
      </c>
      <c r="C452" s="573" t="s">
        <v>957</v>
      </c>
      <c r="D452" s="479">
        <v>218025</v>
      </c>
      <c r="E452" s="481">
        <v>9</v>
      </c>
      <c r="F452" s="376">
        <f t="shared" si="27"/>
        <v>129223</v>
      </c>
      <c r="G452" s="377">
        <f t="shared" si="28"/>
        <v>141993</v>
      </c>
      <c r="H452" s="388">
        <v>95334</v>
      </c>
      <c r="I452" s="389">
        <v>98830</v>
      </c>
      <c r="J452" s="388">
        <v>10322</v>
      </c>
      <c r="K452" s="390">
        <v>10162</v>
      </c>
      <c r="L452" s="381">
        <v>17678</v>
      </c>
      <c r="M452" s="388">
        <v>5889</v>
      </c>
      <c r="N452" s="388"/>
      <c r="O452" s="389">
        <v>26610</v>
      </c>
      <c r="P452" s="389">
        <v>6391</v>
      </c>
      <c r="Q452" s="390"/>
      <c r="R452" s="381"/>
      <c r="S452" s="390"/>
      <c r="T452" s="383">
        <f t="shared" si="29"/>
        <v>0</v>
      </c>
      <c r="U452" s="384">
        <f t="shared" si="30"/>
        <v>0</v>
      </c>
      <c r="V452" s="388"/>
      <c r="W452" s="389"/>
      <c r="X452" s="391"/>
      <c r="Y452" s="390"/>
      <c r="Z452" s="381"/>
      <c r="AA452" s="388"/>
      <c r="AB452" s="388"/>
      <c r="AC452" s="389"/>
      <c r="AD452" s="389"/>
      <c r="AE452" s="392"/>
      <c r="AF452" s="381"/>
      <c r="AG452" s="389"/>
    </row>
    <row r="453" spans="1:33" s="404" customFormat="1" ht="12.75" customHeight="1">
      <c r="A453" s="479" t="s">
        <v>354</v>
      </c>
      <c r="B453" s="572" t="s">
        <v>373</v>
      </c>
      <c r="C453" s="573" t="s">
        <v>958</v>
      </c>
      <c r="D453" s="479">
        <v>218140</v>
      </c>
      <c r="E453" s="481">
        <v>9</v>
      </c>
      <c r="F453" s="376">
        <f t="shared" si="27"/>
        <v>157982</v>
      </c>
      <c r="G453" s="377">
        <f t="shared" si="28"/>
        <v>173200</v>
      </c>
      <c r="H453" s="388">
        <v>134049</v>
      </c>
      <c r="I453" s="389">
        <v>144519</v>
      </c>
      <c r="J453" s="388">
        <v>6399</v>
      </c>
      <c r="K453" s="390">
        <v>6896</v>
      </c>
      <c r="L453" s="381">
        <v>17534</v>
      </c>
      <c r="M453" s="388"/>
      <c r="N453" s="388"/>
      <c r="O453" s="389">
        <v>21785</v>
      </c>
      <c r="P453" s="389"/>
      <c r="Q453" s="390"/>
      <c r="R453" s="381"/>
      <c r="S453" s="390"/>
      <c r="T453" s="383">
        <f t="shared" si="29"/>
        <v>0</v>
      </c>
      <c r="U453" s="384">
        <f t="shared" si="30"/>
        <v>0</v>
      </c>
      <c r="V453" s="388"/>
      <c r="W453" s="389"/>
      <c r="X453" s="391"/>
      <c r="Y453" s="390"/>
      <c r="Z453" s="381"/>
      <c r="AA453" s="388"/>
      <c r="AB453" s="388"/>
      <c r="AC453" s="389"/>
      <c r="AD453" s="389"/>
      <c r="AE453" s="392"/>
      <c r="AF453" s="381"/>
      <c r="AG453" s="389"/>
    </row>
    <row r="454" spans="1:33" s="404" customFormat="1" ht="12.75" customHeight="1">
      <c r="A454" s="479" t="s">
        <v>354</v>
      </c>
      <c r="B454" s="480" t="s">
        <v>374</v>
      </c>
      <c r="C454" s="480"/>
      <c r="D454" s="479">
        <v>218487</v>
      </c>
      <c r="E454" s="481">
        <v>9</v>
      </c>
      <c r="F454" s="376">
        <f t="shared" si="27"/>
        <v>72640</v>
      </c>
      <c r="G454" s="377">
        <f t="shared" si="28"/>
        <v>72998</v>
      </c>
      <c r="H454" s="388">
        <v>55839</v>
      </c>
      <c r="I454" s="389">
        <v>55716</v>
      </c>
      <c r="J454" s="388">
        <v>9396</v>
      </c>
      <c r="K454" s="390">
        <v>8717</v>
      </c>
      <c r="L454" s="381">
        <v>7405</v>
      </c>
      <c r="M454" s="388"/>
      <c r="N454" s="388"/>
      <c r="O454" s="389">
        <v>8565</v>
      </c>
      <c r="P454" s="389"/>
      <c r="Q454" s="390"/>
      <c r="R454" s="381"/>
      <c r="S454" s="390"/>
      <c r="T454" s="383">
        <f t="shared" si="29"/>
        <v>0</v>
      </c>
      <c r="U454" s="384">
        <f t="shared" si="30"/>
        <v>0</v>
      </c>
      <c r="V454" s="388"/>
      <c r="W454" s="389"/>
      <c r="X454" s="391"/>
      <c r="Y454" s="390"/>
      <c r="Z454" s="381"/>
      <c r="AA454" s="388"/>
      <c r="AB454" s="388"/>
      <c r="AC454" s="389"/>
      <c r="AD454" s="389"/>
      <c r="AE454" s="392"/>
      <c r="AF454" s="381"/>
      <c r="AG454" s="389"/>
    </row>
    <row r="455" spans="1:33" s="404" customFormat="1" ht="12.75" customHeight="1">
      <c r="A455" s="479" t="s">
        <v>354</v>
      </c>
      <c r="B455" s="572" t="s">
        <v>375</v>
      </c>
      <c r="C455" s="573" t="s">
        <v>957</v>
      </c>
      <c r="D455" s="479">
        <v>218520</v>
      </c>
      <c r="E455" s="481">
        <v>9</v>
      </c>
      <c r="F455" s="376">
        <f t="shared" si="27"/>
        <v>137652</v>
      </c>
      <c r="G455" s="377">
        <f t="shared" si="28"/>
        <v>138959</v>
      </c>
      <c r="H455" s="388">
        <v>76044</v>
      </c>
      <c r="I455" s="389">
        <v>71712</v>
      </c>
      <c r="J455" s="388">
        <v>17229</v>
      </c>
      <c r="K455" s="390">
        <v>15257</v>
      </c>
      <c r="L455" s="381">
        <v>28964</v>
      </c>
      <c r="M455" s="388">
        <v>15415</v>
      </c>
      <c r="N455" s="388"/>
      <c r="O455" s="389">
        <v>36827</v>
      </c>
      <c r="P455" s="389">
        <v>15163</v>
      </c>
      <c r="Q455" s="390"/>
      <c r="R455" s="381"/>
      <c r="S455" s="390"/>
      <c r="T455" s="383">
        <f t="shared" si="29"/>
        <v>0</v>
      </c>
      <c r="U455" s="384">
        <f t="shared" si="30"/>
        <v>0</v>
      </c>
      <c r="V455" s="388"/>
      <c r="W455" s="389"/>
      <c r="X455" s="391"/>
      <c r="Y455" s="390"/>
      <c r="Z455" s="381"/>
      <c r="AA455" s="388"/>
      <c r="AB455" s="388"/>
      <c r="AC455" s="389"/>
      <c r="AD455" s="389"/>
      <c r="AE455" s="392"/>
      <c r="AF455" s="381"/>
      <c r="AG455" s="389"/>
    </row>
    <row r="456" spans="1:33" s="404" customFormat="1" ht="12.75" customHeight="1">
      <c r="A456" s="479" t="s">
        <v>354</v>
      </c>
      <c r="B456" s="572" t="s">
        <v>376</v>
      </c>
      <c r="C456" s="573" t="s">
        <v>957</v>
      </c>
      <c r="D456" s="479">
        <v>218830</v>
      </c>
      <c r="E456" s="481">
        <v>9</v>
      </c>
      <c r="F456" s="376">
        <f t="shared" ref="F456:F519" si="31">SUM(H456,J456,L456,M456,N456,R456)</f>
        <v>131893</v>
      </c>
      <c r="G456" s="377">
        <f t="shared" ref="G456:G519" si="32">SUM(I456,K456,O456,P456,Q456,S456)</f>
        <v>140025</v>
      </c>
      <c r="H456" s="388">
        <v>111530</v>
      </c>
      <c r="I456" s="389">
        <v>114546</v>
      </c>
      <c r="J456" s="388">
        <v>5054</v>
      </c>
      <c r="K456" s="390">
        <v>5936</v>
      </c>
      <c r="L456" s="381">
        <v>15267</v>
      </c>
      <c r="M456" s="388">
        <v>42</v>
      </c>
      <c r="N456" s="388"/>
      <c r="O456" s="389">
        <v>19534</v>
      </c>
      <c r="P456" s="389">
        <v>9</v>
      </c>
      <c r="Q456" s="390"/>
      <c r="R456" s="381"/>
      <c r="S456" s="390"/>
      <c r="T456" s="383">
        <f t="shared" ref="T456:T519" si="33">SUM(V456,X456,Z456,AA456,AB456,AF456)</f>
        <v>0</v>
      </c>
      <c r="U456" s="384">
        <f t="shared" ref="U456:U519" si="34">SUM(W456,Y456,AC456,AD456,AE456,AG456)</f>
        <v>0</v>
      </c>
      <c r="V456" s="388"/>
      <c r="W456" s="389"/>
      <c r="X456" s="391"/>
      <c r="Y456" s="390"/>
      <c r="Z456" s="381"/>
      <c r="AA456" s="388"/>
      <c r="AB456" s="388"/>
      <c r="AC456" s="389"/>
      <c r="AD456" s="389"/>
      <c r="AE456" s="392"/>
      <c r="AF456" s="381"/>
      <c r="AG456" s="389"/>
    </row>
    <row r="457" spans="1:33" s="404" customFormat="1" ht="12.75" customHeight="1">
      <c r="A457" s="479" t="s">
        <v>354</v>
      </c>
      <c r="B457" s="572" t="s">
        <v>377</v>
      </c>
      <c r="C457" s="573" t="s">
        <v>958</v>
      </c>
      <c r="D457" s="479">
        <v>218885</v>
      </c>
      <c r="E457" s="481">
        <v>9</v>
      </c>
      <c r="F457" s="376">
        <f t="shared" si="31"/>
        <v>161982</v>
      </c>
      <c r="G457" s="377">
        <f t="shared" si="32"/>
        <v>171851</v>
      </c>
      <c r="H457" s="388">
        <v>133502</v>
      </c>
      <c r="I457" s="389">
        <v>134614</v>
      </c>
      <c r="J457" s="388">
        <v>5404</v>
      </c>
      <c r="K457" s="390">
        <v>4608</v>
      </c>
      <c r="L457" s="381">
        <v>23076</v>
      </c>
      <c r="M457" s="388"/>
      <c r="N457" s="388"/>
      <c r="O457" s="389">
        <v>32629</v>
      </c>
      <c r="P457" s="389"/>
      <c r="Q457" s="390"/>
      <c r="R457" s="381"/>
      <c r="S457" s="390"/>
      <c r="T457" s="383">
        <f t="shared" si="33"/>
        <v>0</v>
      </c>
      <c r="U457" s="384">
        <f t="shared" si="34"/>
        <v>0</v>
      </c>
      <c r="V457" s="388"/>
      <c r="W457" s="389"/>
      <c r="X457" s="391"/>
      <c r="Y457" s="390"/>
      <c r="Z457" s="381"/>
      <c r="AA457" s="388"/>
      <c r="AB457" s="388"/>
      <c r="AC457" s="389"/>
      <c r="AD457" s="389"/>
      <c r="AE457" s="392"/>
      <c r="AF457" s="381"/>
      <c r="AG457" s="389"/>
    </row>
    <row r="458" spans="1:33" s="404" customFormat="1" ht="12.75" customHeight="1">
      <c r="A458" s="479" t="s">
        <v>354</v>
      </c>
      <c r="B458" s="572" t="s">
        <v>378</v>
      </c>
      <c r="C458" s="573" t="s">
        <v>957</v>
      </c>
      <c r="D458" s="479">
        <v>218991</v>
      </c>
      <c r="E458" s="481">
        <v>9</v>
      </c>
      <c r="F458" s="376">
        <f t="shared" si="31"/>
        <v>138752</v>
      </c>
      <c r="G458" s="377">
        <f t="shared" si="32"/>
        <v>140960</v>
      </c>
      <c r="H458" s="388">
        <v>92734</v>
      </c>
      <c r="I458" s="389">
        <v>89627</v>
      </c>
      <c r="J458" s="388">
        <v>9427</v>
      </c>
      <c r="K458" s="390">
        <v>10099</v>
      </c>
      <c r="L458" s="381">
        <v>26852</v>
      </c>
      <c r="M458" s="388">
        <v>8998</v>
      </c>
      <c r="N458" s="388">
        <v>741</v>
      </c>
      <c r="O458" s="389">
        <v>32197</v>
      </c>
      <c r="P458" s="389">
        <v>8657</v>
      </c>
      <c r="Q458" s="390">
        <v>380</v>
      </c>
      <c r="R458" s="381"/>
      <c r="S458" s="390"/>
      <c r="T458" s="383">
        <f t="shared" si="33"/>
        <v>0</v>
      </c>
      <c r="U458" s="384">
        <f t="shared" si="34"/>
        <v>0</v>
      </c>
      <c r="V458" s="388"/>
      <c r="W458" s="389"/>
      <c r="X458" s="391"/>
      <c r="Y458" s="390"/>
      <c r="Z458" s="381"/>
      <c r="AA458" s="388"/>
      <c r="AB458" s="388"/>
      <c r="AC458" s="389"/>
      <c r="AD458" s="389"/>
      <c r="AE458" s="392"/>
      <c r="AF458" s="381"/>
      <c r="AG458" s="389"/>
    </row>
    <row r="459" spans="1:33" s="404" customFormat="1" ht="12.75" customHeight="1">
      <c r="A459" s="479" t="s">
        <v>354</v>
      </c>
      <c r="B459" s="480" t="s">
        <v>379</v>
      </c>
      <c r="C459" s="480"/>
      <c r="D459" s="479">
        <v>217989</v>
      </c>
      <c r="E459" s="481">
        <v>10</v>
      </c>
      <c r="F459" s="376">
        <f t="shared" si="31"/>
        <v>38483</v>
      </c>
      <c r="G459" s="377">
        <f t="shared" si="32"/>
        <v>32782</v>
      </c>
      <c r="H459" s="388">
        <v>30794</v>
      </c>
      <c r="I459" s="389">
        <v>26294</v>
      </c>
      <c r="J459" s="388">
        <v>1085</v>
      </c>
      <c r="K459" s="390">
        <v>186</v>
      </c>
      <c r="L459" s="381">
        <v>6604</v>
      </c>
      <c r="M459" s="388"/>
      <c r="N459" s="388"/>
      <c r="O459" s="389">
        <v>6302</v>
      </c>
      <c r="P459" s="389"/>
      <c r="Q459" s="390"/>
      <c r="R459" s="381"/>
      <c r="S459" s="390"/>
      <c r="T459" s="383">
        <f t="shared" si="33"/>
        <v>0</v>
      </c>
      <c r="U459" s="384">
        <f t="shared" si="34"/>
        <v>0</v>
      </c>
      <c r="V459" s="388"/>
      <c r="W459" s="389"/>
      <c r="X459" s="391"/>
      <c r="Y459" s="390"/>
      <c r="Z459" s="381"/>
      <c r="AA459" s="388"/>
      <c r="AB459" s="388"/>
      <c r="AC459" s="389"/>
      <c r="AD459" s="389"/>
      <c r="AE459" s="392"/>
      <c r="AF459" s="381"/>
      <c r="AG459" s="389"/>
    </row>
    <row r="460" spans="1:33" s="404" customFormat="1" ht="12.75" customHeight="1">
      <c r="A460" s="479" t="s">
        <v>354</v>
      </c>
      <c r="B460" s="480" t="s">
        <v>380</v>
      </c>
      <c r="C460" s="480"/>
      <c r="D460" s="479">
        <v>217837</v>
      </c>
      <c r="E460" s="481">
        <v>10</v>
      </c>
      <c r="F460" s="376">
        <f t="shared" si="31"/>
        <v>27390</v>
      </c>
      <c r="G460" s="377">
        <f t="shared" si="32"/>
        <v>29287</v>
      </c>
      <c r="H460" s="388">
        <v>21657</v>
      </c>
      <c r="I460" s="389">
        <v>21072</v>
      </c>
      <c r="J460" s="388">
        <v>337</v>
      </c>
      <c r="K460" s="390">
        <v>672</v>
      </c>
      <c r="L460" s="381">
        <v>2051</v>
      </c>
      <c r="M460" s="388">
        <v>3345</v>
      </c>
      <c r="N460" s="388"/>
      <c r="O460" s="389">
        <v>3705</v>
      </c>
      <c r="P460" s="389">
        <v>3838</v>
      </c>
      <c r="Q460" s="390"/>
      <c r="R460" s="381"/>
      <c r="S460" s="390"/>
      <c r="T460" s="383">
        <f t="shared" si="33"/>
        <v>0</v>
      </c>
      <c r="U460" s="384">
        <f t="shared" si="34"/>
        <v>0</v>
      </c>
      <c r="V460" s="388"/>
      <c r="W460" s="389"/>
      <c r="X460" s="391"/>
      <c r="Y460" s="390"/>
      <c r="Z460" s="381"/>
      <c r="AA460" s="388"/>
      <c r="AB460" s="388"/>
      <c r="AC460" s="389"/>
      <c r="AD460" s="389"/>
      <c r="AE460" s="392"/>
      <c r="AF460" s="381"/>
      <c r="AG460" s="389"/>
    </row>
    <row r="461" spans="1:33" s="404" customFormat="1" ht="12.75" customHeight="1">
      <c r="A461" s="479" t="s">
        <v>354</v>
      </c>
      <c r="B461" s="480" t="s">
        <v>381</v>
      </c>
      <c r="C461" s="480"/>
      <c r="D461" s="479">
        <v>217712</v>
      </c>
      <c r="E461" s="481">
        <v>10</v>
      </c>
      <c r="F461" s="376">
        <f t="shared" si="31"/>
        <v>55053</v>
      </c>
      <c r="G461" s="377">
        <f t="shared" si="32"/>
        <v>60944</v>
      </c>
      <c r="H461" s="388">
        <v>41399</v>
      </c>
      <c r="I461" s="389">
        <v>44542</v>
      </c>
      <c r="J461" s="388">
        <v>550</v>
      </c>
      <c r="K461" s="390">
        <v>346</v>
      </c>
      <c r="L461" s="381">
        <v>9662</v>
      </c>
      <c r="M461" s="388">
        <v>1405</v>
      </c>
      <c r="N461" s="388">
        <v>2037</v>
      </c>
      <c r="O461" s="389">
        <v>12243</v>
      </c>
      <c r="P461" s="389">
        <v>3813</v>
      </c>
      <c r="Q461" s="390"/>
      <c r="R461" s="381"/>
      <c r="S461" s="390"/>
      <c r="T461" s="383">
        <f t="shared" si="33"/>
        <v>0</v>
      </c>
      <c r="U461" s="384">
        <f t="shared" si="34"/>
        <v>0</v>
      </c>
      <c r="V461" s="388"/>
      <c r="W461" s="389"/>
      <c r="X461" s="391"/>
      <c r="Y461" s="390"/>
      <c r="Z461" s="381"/>
      <c r="AA461" s="388"/>
      <c r="AB461" s="388"/>
      <c r="AC461" s="389"/>
      <c r="AD461" s="389"/>
      <c r="AE461" s="392"/>
      <c r="AF461" s="381"/>
      <c r="AG461" s="389"/>
    </row>
    <row r="462" spans="1:33" s="404" customFormat="1" ht="12.75" customHeight="1">
      <c r="A462" s="479" t="s">
        <v>354</v>
      </c>
      <c r="B462" s="480" t="s">
        <v>382</v>
      </c>
      <c r="C462" s="480"/>
      <c r="D462" s="479">
        <v>218672</v>
      </c>
      <c r="E462" s="481">
        <v>10</v>
      </c>
      <c r="F462" s="376">
        <f t="shared" si="31"/>
        <v>31947</v>
      </c>
      <c r="G462" s="377">
        <f t="shared" si="32"/>
        <v>34947</v>
      </c>
      <c r="H462" s="388">
        <v>31585</v>
      </c>
      <c r="I462" s="389">
        <v>34646</v>
      </c>
      <c r="J462" s="388">
        <v>362</v>
      </c>
      <c r="K462" s="390">
        <v>301</v>
      </c>
      <c r="L462" s="381"/>
      <c r="M462" s="388"/>
      <c r="N462" s="388"/>
      <c r="O462" s="389">
        <v>0</v>
      </c>
      <c r="P462" s="389"/>
      <c r="Q462" s="390"/>
      <c r="R462" s="381"/>
      <c r="S462" s="390"/>
      <c r="T462" s="383">
        <f t="shared" si="33"/>
        <v>0</v>
      </c>
      <c r="U462" s="384">
        <f t="shared" si="34"/>
        <v>0</v>
      </c>
      <c r="V462" s="388"/>
      <c r="W462" s="389"/>
      <c r="X462" s="391"/>
      <c r="Y462" s="390"/>
      <c r="Z462" s="381"/>
      <c r="AA462" s="388"/>
      <c r="AB462" s="388"/>
      <c r="AC462" s="389"/>
      <c r="AD462" s="389"/>
      <c r="AE462" s="392"/>
      <c r="AF462" s="381"/>
      <c r="AG462" s="389"/>
    </row>
    <row r="463" spans="1:33" s="404" customFormat="1" ht="12.75" customHeight="1">
      <c r="A463" s="479" t="s">
        <v>354</v>
      </c>
      <c r="B463" s="480" t="s">
        <v>383</v>
      </c>
      <c r="C463" s="480"/>
      <c r="D463" s="479">
        <v>218681</v>
      </c>
      <c r="E463" s="481">
        <v>10</v>
      </c>
      <c r="F463" s="376">
        <f t="shared" si="31"/>
        <v>18664</v>
      </c>
      <c r="G463" s="377">
        <f t="shared" si="32"/>
        <v>21981</v>
      </c>
      <c r="H463" s="388">
        <v>18664</v>
      </c>
      <c r="I463" s="389">
        <v>21981</v>
      </c>
      <c r="J463" s="388"/>
      <c r="K463" s="390">
        <v>0</v>
      </c>
      <c r="L463" s="381"/>
      <c r="M463" s="388"/>
      <c r="N463" s="388"/>
      <c r="O463" s="389">
        <v>0</v>
      </c>
      <c r="P463" s="389"/>
      <c r="Q463" s="390"/>
      <c r="R463" s="381"/>
      <c r="S463" s="390"/>
      <c r="T463" s="383">
        <f t="shared" si="33"/>
        <v>0</v>
      </c>
      <c r="U463" s="384">
        <f t="shared" si="34"/>
        <v>0</v>
      </c>
      <c r="V463" s="388"/>
      <c r="W463" s="389"/>
      <c r="X463" s="391"/>
      <c r="Y463" s="390"/>
      <c r="Z463" s="381"/>
      <c r="AA463" s="388"/>
      <c r="AB463" s="388"/>
      <c r="AC463" s="389"/>
      <c r="AD463" s="389"/>
      <c r="AE463" s="392"/>
      <c r="AF463" s="381"/>
      <c r="AG463" s="389"/>
    </row>
    <row r="464" spans="1:33" s="404" customFormat="1" ht="12.75" customHeight="1">
      <c r="A464" s="479" t="s">
        <v>354</v>
      </c>
      <c r="B464" s="480" t="s">
        <v>384</v>
      </c>
      <c r="C464" s="480"/>
      <c r="D464" s="479">
        <v>218690</v>
      </c>
      <c r="E464" s="481">
        <v>10</v>
      </c>
      <c r="F464" s="376">
        <f t="shared" si="31"/>
        <v>26074</v>
      </c>
      <c r="G464" s="377">
        <f t="shared" si="32"/>
        <v>26375</v>
      </c>
      <c r="H464" s="388">
        <v>22539</v>
      </c>
      <c r="I464" s="389">
        <v>22605</v>
      </c>
      <c r="J464" s="388">
        <v>3535</v>
      </c>
      <c r="K464" s="390">
        <v>3500</v>
      </c>
      <c r="L464" s="381"/>
      <c r="M464" s="388"/>
      <c r="N464" s="388"/>
      <c r="O464" s="389">
        <v>270</v>
      </c>
      <c r="P464" s="389"/>
      <c r="Q464" s="390"/>
      <c r="R464" s="381"/>
      <c r="S464" s="390"/>
      <c r="T464" s="383">
        <f t="shared" si="33"/>
        <v>0</v>
      </c>
      <c r="U464" s="384">
        <f t="shared" si="34"/>
        <v>0</v>
      </c>
      <c r="V464" s="388"/>
      <c r="W464" s="389"/>
      <c r="X464" s="391"/>
      <c r="Y464" s="390"/>
      <c r="Z464" s="381"/>
      <c r="AA464" s="388"/>
      <c r="AB464" s="388"/>
      <c r="AC464" s="389"/>
      <c r="AD464" s="389"/>
      <c r="AE464" s="392"/>
      <c r="AF464" s="381"/>
      <c r="AG464" s="389"/>
    </row>
    <row r="465" spans="1:33" s="404" customFormat="1" ht="12.75" customHeight="1">
      <c r="A465" s="479" t="s">
        <v>354</v>
      </c>
      <c r="B465" s="480" t="s">
        <v>385</v>
      </c>
      <c r="C465" s="480"/>
      <c r="D465" s="479">
        <v>218706</v>
      </c>
      <c r="E465" s="481">
        <v>10</v>
      </c>
      <c r="F465" s="376">
        <f t="shared" si="31"/>
        <v>9376</v>
      </c>
      <c r="G465" s="377">
        <f t="shared" si="32"/>
        <v>10674</v>
      </c>
      <c r="H465" s="388">
        <v>7870</v>
      </c>
      <c r="I465" s="389">
        <v>9332</v>
      </c>
      <c r="J465" s="388">
        <v>1506</v>
      </c>
      <c r="K465" s="390">
        <v>1342</v>
      </c>
      <c r="L465" s="381"/>
      <c r="M465" s="388"/>
      <c r="N465" s="388"/>
      <c r="O465" s="389">
        <v>0</v>
      </c>
      <c r="P465" s="389"/>
      <c r="Q465" s="390"/>
      <c r="R465" s="381"/>
      <c r="S465" s="390"/>
      <c r="T465" s="383">
        <f t="shared" si="33"/>
        <v>0</v>
      </c>
      <c r="U465" s="384">
        <f t="shared" si="34"/>
        <v>0</v>
      </c>
      <c r="V465" s="388"/>
      <c r="W465" s="389"/>
      <c r="X465" s="391"/>
      <c r="Y465" s="390"/>
      <c r="Z465" s="381"/>
      <c r="AA465" s="388"/>
      <c r="AB465" s="388"/>
      <c r="AC465" s="389"/>
      <c r="AD465" s="389"/>
      <c r="AE465" s="392"/>
      <c r="AF465" s="381"/>
      <c r="AG465" s="389"/>
    </row>
    <row r="466" spans="1:33" s="404" customFormat="1" ht="12.75" customHeight="1">
      <c r="A466" s="479" t="s">
        <v>354</v>
      </c>
      <c r="B466" s="480" t="s">
        <v>386</v>
      </c>
      <c r="C466" s="480"/>
      <c r="D466" s="479">
        <v>218955</v>
      </c>
      <c r="E466" s="481">
        <v>10</v>
      </c>
      <c r="F466" s="376">
        <f t="shared" si="31"/>
        <v>16855</v>
      </c>
      <c r="G466" s="377">
        <f t="shared" si="32"/>
        <v>18866</v>
      </c>
      <c r="H466" s="388">
        <v>16224</v>
      </c>
      <c r="I466" s="389">
        <v>18524</v>
      </c>
      <c r="J466" s="388">
        <v>354</v>
      </c>
      <c r="K466" s="390">
        <v>220</v>
      </c>
      <c r="L466" s="381">
        <v>277</v>
      </c>
      <c r="M466" s="388"/>
      <c r="N466" s="388"/>
      <c r="O466" s="389">
        <v>122</v>
      </c>
      <c r="P466" s="389"/>
      <c r="Q466" s="390"/>
      <c r="R466" s="381"/>
      <c r="S466" s="390"/>
      <c r="T466" s="383">
        <f t="shared" si="33"/>
        <v>0</v>
      </c>
      <c r="U466" s="384">
        <f t="shared" si="34"/>
        <v>0</v>
      </c>
      <c r="V466" s="388"/>
      <c r="W466" s="389"/>
      <c r="X466" s="391"/>
      <c r="Y466" s="390"/>
      <c r="Z466" s="381"/>
      <c r="AA466" s="388"/>
      <c r="AB466" s="388"/>
      <c r="AC466" s="389"/>
      <c r="AD466" s="389"/>
      <c r="AE466" s="392"/>
      <c r="AF466" s="381"/>
      <c r="AG466" s="389"/>
    </row>
    <row r="467" spans="1:33" s="404" customFormat="1" ht="12.75" customHeight="1">
      <c r="A467" s="444" t="s">
        <v>387</v>
      </c>
      <c r="B467" s="443" t="s">
        <v>388</v>
      </c>
      <c r="C467" s="443"/>
      <c r="D467" s="444">
        <v>220862</v>
      </c>
      <c r="E467" s="445">
        <v>1</v>
      </c>
      <c r="F467" s="376">
        <f t="shared" si="31"/>
        <v>415795</v>
      </c>
      <c r="G467" s="377">
        <f t="shared" si="32"/>
        <v>422576</v>
      </c>
      <c r="H467" s="388">
        <v>357670</v>
      </c>
      <c r="I467" s="389">
        <v>351866</v>
      </c>
      <c r="J467" s="388">
        <v>9510</v>
      </c>
      <c r="K467" s="390">
        <v>7800</v>
      </c>
      <c r="L467" s="381">
        <v>33853</v>
      </c>
      <c r="M467" s="388">
        <v>795</v>
      </c>
      <c r="N467" s="388">
        <v>10879</v>
      </c>
      <c r="O467" s="389">
        <v>42851</v>
      </c>
      <c r="P467" s="389">
        <v>368</v>
      </c>
      <c r="Q467" s="390">
        <v>16665</v>
      </c>
      <c r="R467" s="381">
        <v>3088</v>
      </c>
      <c r="S467" s="390">
        <v>3026</v>
      </c>
      <c r="T467" s="383">
        <f t="shared" si="33"/>
        <v>81557</v>
      </c>
      <c r="U467" s="384">
        <f t="shared" si="34"/>
        <v>83230</v>
      </c>
      <c r="V467" s="388">
        <v>53213</v>
      </c>
      <c r="W467" s="389">
        <v>55321</v>
      </c>
      <c r="X467" s="391">
        <v>9593</v>
      </c>
      <c r="Y467" s="390">
        <v>10152</v>
      </c>
      <c r="Z467" s="381">
        <v>9501</v>
      </c>
      <c r="AA467" s="388">
        <v>150</v>
      </c>
      <c r="AB467" s="388">
        <v>3248</v>
      </c>
      <c r="AC467" s="389">
        <v>10405</v>
      </c>
      <c r="AD467" s="389">
        <v>51</v>
      </c>
      <c r="AE467" s="392">
        <v>1662</v>
      </c>
      <c r="AF467" s="381">
        <v>5852</v>
      </c>
      <c r="AG467" s="389">
        <v>5639</v>
      </c>
    </row>
    <row r="468" spans="1:33" s="404" customFormat="1" ht="12.75" customHeight="1">
      <c r="A468" s="444" t="s">
        <v>387</v>
      </c>
      <c r="B468" s="443" t="s">
        <v>389</v>
      </c>
      <c r="C468" s="443"/>
      <c r="D468" s="444">
        <v>221759</v>
      </c>
      <c r="E468" s="485">
        <v>1</v>
      </c>
      <c r="F468" s="376">
        <f t="shared" si="31"/>
        <v>614720</v>
      </c>
      <c r="G468" s="377">
        <f t="shared" si="32"/>
        <v>567964</v>
      </c>
      <c r="H468" s="388">
        <v>526893</v>
      </c>
      <c r="I468" s="389">
        <v>487661</v>
      </c>
      <c r="J468" s="388">
        <v>300</v>
      </c>
      <c r="K468" s="390">
        <v>969</v>
      </c>
      <c r="L468" s="381">
        <v>637</v>
      </c>
      <c r="M468" s="388">
        <v>892</v>
      </c>
      <c r="N468" s="388">
        <v>85998</v>
      </c>
      <c r="O468" s="389">
        <v>72</v>
      </c>
      <c r="P468" s="389">
        <v>792</v>
      </c>
      <c r="Q468" s="390">
        <v>78219</v>
      </c>
      <c r="R468" s="381">
        <v>0</v>
      </c>
      <c r="S468" s="390">
        <v>251</v>
      </c>
      <c r="T468" s="383">
        <f t="shared" si="33"/>
        <v>121122</v>
      </c>
      <c r="U468" s="384">
        <f t="shared" si="34"/>
        <v>129472</v>
      </c>
      <c r="V468" s="388">
        <v>100617</v>
      </c>
      <c r="W468" s="389">
        <v>109147</v>
      </c>
      <c r="X468" s="391">
        <v>1490</v>
      </c>
      <c r="Y468" s="390">
        <v>1267</v>
      </c>
      <c r="Z468" s="381">
        <v>8954</v>
      </c>
      <c r="AA468" s="388">
        <v>72</v>
      </c>
      <c r="AB468" s="388">
        <v>9629</v>
      </c>
      <c r="AC468" s="389">
        <v>6803</v>
      </c>
      <c r="AD468" s="389">
        <v>75</v>
      </c>
      <c r="AE468" s="392">
        <v>11855</v>
      </c>
      <c r="AF468" s="381">
        <v>360</v>
      </c>
      <c r="AG468" s="389">
        <v>325</v>
      </c>
    </row>
    <row r="469" spans="1:33" s="404" customFormat="1" ht="12.75" customHeight="1">
      <c r="A469" s="444" t="s">
        <v>387</v>
      </c>
      <c r="B469" s="443" t="s">
        <v>390</v>
      </c>
      <c r="C469" s="443"/>
      <c r="D469" s="444">
        <v>220075</v>
      </c>
      <c r="E469" s="485">
        <v>3</v>
      </c>
      <c r="F469" s="376">
        <f t="shared" si="31"/>
        <v>309598</v>
      </c>
      <c r="G469" s="377">
        <f t="shared" si="32"/>
        <v>315496</v>
      </c>
      <c r="H469" s="388">
        <v>237409</v>
      </c>
      <c r="I469" s="389">
        <v>239142</v>
      </c>
      <c r="J469" s="388">
        <v>12553</v>
      </c>
      <c r="K469" s="390">
        <v>9334</v>
      </c>
      <c r="L469" s="381">
        <v>33437</v>
      </c>
      <c r="M469" s="388">
        <v>9733</v>
      </c>
      <c r="N469" s="388">
        <v>14475</v>
      </c>
      <c r="O469" s="389">
        <v>40456</v>
      </c>
      <c r="P469" s="389">
        <v>9831</v>
      </c>
      <c r="Q469" s="390">
        <v>14290</v>
      </c>
      <c r="R469" s="381">
        <v>1991</v>
      </c>
      <c r="S469" s="390">
        <v>2443</v>
      </c>
      <c r="T469" s="383">
        <f t="shared" si="33"/>
        <v>42807</v>
      </c>
      <c r="U469" s="384">
        <f t="shared" si="34"/>
        <v>41178</v>
      </c>
      <c r="V469" s="388">
        <v>22533</v>
      </c>
      <c r="W469" s="389">
        <v>24434</v>
      </c>
      <c r="X469" s="391">
        <v>4913</v>
      </c>
      <c r="Y469" s="390">
        <v>5183</v>
      </c>
      <c r="Z469" s="381">
        <v>10123</v>
      </c>
      <c r="AA469" s="388">
        <v>359</v>
      </c>
      <c r="AB469" s="388">
        <v>1937</v>
      </c>
      <c r="AC469" s="389">
        <v>8135</v>
      </c>
      <c r="AD469" s="389">
        <v>102</v>
      </c>
      <c r="AE469" s="392">
        <v>1622</v>
      </c>
      <c r="AF469" s="381">
        <v>2942</v>
      </c>
      <c r="AG469" s="389">
        <v>1702</v>
      </c>
    </row>
    <row r="470" spans="1:33" s="404" customFormat="1" ht="12.75" customHeight="1">
      <c r="A470" s="444" t="s">
        <v>387</v>
      </c>
      <c r="B470" s="443" t="s">
        <v>391</v>
      </c>
      <c r="C470" s="443"/>
      <c r="D470" s="444">
        <v>220978</v>
      </c>
      <c r="E470" s="485">
        <v>3</v>
      </c>
      <c r="F470" s="376">
        <f t="shared" si="31"/>
        <v>592584</v>
      </c>
      <c r="G470" s="377">
        <f t="shared" si="32"/>
        <v>618769</v>
      </c>
      <c r="H470" s="388">
        <v>516575</v>
      </c>
      <c r="I470" s="389">
        <v>530431</v>
      </c>
      <c r="J470" s="388">
        <v>10076</v>
      </c>
      <c r="K470" s="390">
        <v>10051</v>
      </c>
      <c r="L470" s="381">
        <v>35805</v>
      </c>
      <c r="M470" s="388">
        <v>2790</v>
      </c>
      <c r="N470" s="388">
        <v>23077</v>
      </c>
      <c r="O470" s="389">
        <v>48763</v>
      </c>
      <c r="P470" s="389">
        <v>2748</v>
      </c>
      <c r="Q470" s="390">
        <v>22415</v>
      </c>
      <c r="R470" s="381">
        <v>4261</v>
      </c>
      <c r="S470" s="390">
        <v>4361</v>
      </c>
      <c r="T470" s="383">
        <f t="shared" si="33"/>
        <v>45506</v>
      </c>
      <c r="U470" s="384">
        <f t="shared" si="34"/>
        <v>41595</v>
      </c>
      <c r="V470" s="388">
        <v>31523</v>
      </c>
      <c r="W470" s="389">
        <v>28178</v>
      </c>
      <c r="X470" s="391">
        <v>2459</v>
      </c>
      <c r="Y470" s="390">
        <v>2342</v>
      </c>
      <c r="Z470" s="381">
        <v>7098</v>
      </c>
      <c r="AA470" s="388">
        <v>366</v>
      </c>
      <c r="AB470" s="388">
        <v>1025</v>
      </c>
      <c r="AC470" s="389">
        <v>5425</v>
      </c>
      <c r="AD470" s="389">
        <v>379</v>
      </c>
      <c r="AE470" s="392">
        <v>2190</v>
      </c>
      <c r="AF470" s="381">
        <v>3035</v>
      </c>
      <c r="AG470" s="389">
        <v>3081</v>
      </c>
    </row>
    <row r="471" spans="1:33" s="404" customFormat="1" ht="12.75" customHeight="1">
      <c r="A471" s="444" t="s">
        <v>387</v>
      </c>
      <c r="B471" s="443" t="s">
        <v>392</v>
      </c>
      <c r="C471" s="547" t="s">
        <v>959</v>
      </c>
      <c r="D471" s="444">
        <v>221838</v>
      </c>
      <c r="E471" s="485">
        <v>3</v>
      </c>
      <c r="F471" s="376">
        <f t="shared" si="31"/>
        <v>177784</v>
      </c>
      <c r="G471" s="377">
        <f t="shared" si="32"/>
        <v>182408</v>
      </c>
      <c r="H471" s="388">
        <v>163180</v>
      </c>
      <c r="I471" s="389">
        <v>154263</v>
      </c>
      <c r="J471" s="388">
        <v>2625</v>
      </c>
      <c r="K471" s="390">
        <v>14260</v>
      </c>
      <c r="L471" s="381">
        <v>10549</v>
      </c>
      <c r="M471" s="388">
        <v>318</v>
      </c>
      <c r="N471" s="388">
        <v>700</v>
      </c>
      <c r="O471" s="389">
        <v>12537</v>
      </c>
      <c r="P471" s="389">
        <v>171</v>
      </c>
      <c r="Q471" s="390">
        <v>671</v>
      </c>
      <c r="R471" s="381">
        <v>412</v>
      </c>
      <c r="S471" s="390">
        <v>506</v>
      </c>
      <c r="T471" s="383">
        <f t="shared" si="33"/>
        <v>32979</v>
      </c>
      <c r="U471" s="384">
        <f t="shared" si="34"/>
        <v>32856</v>
      </c>
      <c r="V471" s="388">
        <v>24981</v>
      </c>
      <c r="W471" s="389">
        <v>26392</v>
      </c>
      <c r="X471" s="391">
        <v>1682</v>
      </c>
      <c r="Y471" s="390">
        <v>1487</v>
      </c>
      <c r="Z471" s="381">
        <v>3256</v>
      </c>
      <c r="AA471" s="388">
        <v>0</v>
      </c>
      <c r="AB471" s="388">
        <v>141</v>
      </c>
      <c r="AC471" s="389">
        <v>1835</v>
      </c>
      <c r="AD471" s="389">
        <v>0</v>
      </c>
      <c r="AE471" s="392">
        <v>140</v>
      </c>
      <c r="AF471" s="381">
        <v>2919</v>
      </c>
      <c r="AG471" s="389">
        <v>3002</v>
      </c>
    </row>
    <row r="472" spans="1:33" s="404" customFormat="1" ht="12.75" customHeight="1">
      <c r="A472" s="444" t="s">
        <v>387</v>
      </c>
      <c r="B472" s="443" t="s">
        <v>393</v>
      </c>
      <c r="C472" s="547"/>
      <c r="D472" s="444">
        <v>221847</v>
      </c>
      <c r="E472" s="445">
        <v>3</v>
      </c>
      <c r="F472" s="376">
        <f t="shared" si="31"/>
        <v>235979</v>
      </c>
      <c r="G472" s="377">
        <f t="shared" si="32"/>
        <v>260418</v>
      </c>
      <c r="H472" s="388">
        <v>205463</v>
      </c>
      <c r="I472" s="389">
        <v>219607</v>
      </c>
      <c r="J472" s="388">
        <v>5804</v>
      </c>
      <c r="K472" s="390">
        <v>14260</v>
      </c>
      <c r="L472" s="381">
        <v>13663</v>
      </c>
      <c r="M472" s="388"/>
      <c r="N472" s="388">
        <v>8403</v>
      </c>
      <c r="O472" s="389">
        <v>15262</v>
      </c>
      <c r="P472" s="389"/>
      <c r="Q472" s="390">
        <v>8189</v>
      </c>
      <c r="R472" s="381">
        <v>2646</v>
      </c>
      <c r="S472" s="390">
        <v>3100</v>
      </c>
      <c r="T472" s="383">
        <f t="shared" si="33"/>
        <v>29118</v>
      </c>
      <c r="U472" s="384">
        <f t="shared" si="34"/>
        <v>30181</v>
      </c>
      <c r="V472" s="388">
        <v>12260</v>
      </c>
      <c r="W472" s="389">
        <v>18854</v>
      </c>
      <c r="X472" s="391">
        <v>1629</v>
      </c>
      <c r="Y472" s="390">
        <v>2014</v>
      </c>
      <c r="Z472" s="381">
        <v>10746</v>
      </c>
      <c r="AA472" s="388">
        <v>0</v>
      </c>
      <c r="AB472" s="388">
        <v>1516</v>
      </c>
      <c r="AC472" s="389">
        <v>5845</v>
      </c>
      <c r="AD472" s="389">
        <v>42</v>
      </c>
      <c r="AE472" s="392">
        <v>467</v>
      </c>
      <c r="AF472" s="381">
        <v>2967</v>
      </c>
      <c r="AG472" s="389">
        <v>2959</v>
      </c>
    </row>
    <row r="473" spans="1:33" s="404" customFormat="1" ht="12.75" customHeight="1">
      <c r="A473" s="444" t="s">
        <v>387</v>
      </c>
      <c r="B473" s="443" t="s">
        <v>394</v>
      </c>
      <c r="C473" s="443"/>
      <c r="D473" s="444">
        <v>221740</v>
      </c>
      <c r="E473" s="485">
        <v>3</v>
      </c>
      <c r="F473" s="376">
        <f t="shared" si="31"/>
        <v>240192</v>
      </c>
      <c r="G473" s="377">
        <f t="shared" si="32"/>
        <v>241728</v>
      </c>
      <c r="H473" s="388">
        <v>229957</v>
      </c>
      <c r="I473" s="389">
        <v>234753</v>
      </c>
      <c r="J473" s="388">
        <v>4310</v>
      </c>
      <c r="K473" s="390">
        <v>1096</v>
      </c>
      <c r="L473" s="381">
        <v>4405</v>
      </c>
      <c r="M473" s="388">
        <v>0</v>
      </c>
      <c r="N473" s="388">
        <v>105</v>
      </c>
      <c r="O473" s="389">
        <v>4710</v>
      </c>
      <c r="P473" s="389">
        <v>0</v>
      </c>
      <c r="Q473" s="390">
        <v>0</v>
      </c>
      <c r="R473" s="381">
        <v>1415</v>
      </c>
      <c r="S473" s="390">
        <v>1169</v>
      </c>
      <c r="T473" s="383">
        <f t="shared" si="33"/>
        <v>26863</v>
      </c>
      <c r="U473" s="384">
        <f t="shared" si="34"/>
        <v>25246</v>
      </c>
      <c r="V473" s="388">
        <v>19384</v>
      </c>
      <c r="W473" s="389">
        <v>19214</v>
      </c>
      <c r="X473" s="391">
        <v>2399</v>
      </c>
      <c r="Y473" s="390">
        <v>2173</v>
      </c>
      <c r="Z473" s="381">
        <v>2855</v>
      </c>
      <c r="AA473" s="388">
        <v>304</v>
      </c>
      <c r="AB473" s="388">
        <v>2</v>
      </c>
      <c r="AC473" s="389">
        <v>2317</v>
      </c>
      <c r="AD473" s="389">
        <v>318</v>
      </c>
      <c r="AE473" s="392">
        <v>0</v>
      </c>
      <c r="AF473" s="381">
        <v>1919</v>
      </c>
      <c r="AG473" s="389">
        <v>1224</v>
      </c>
    </row>
    <row r="474" spans="1:33" s="404" customFormat="1" ht="12.75" customHeight="1">
      <c r="A474" s="444" t="s">
        <v>387</v>
      </c>
      <c r="B474" s="574" t="s">
        <v>395</v>
      </c>
      <c r="C474" s="575" t="s">
        <v>851</v>
      </c>
      <c r="D474" s="444">
        <v>219602</v>
      </c>
      <c r="E474" s="576">
        <v>3</v>
      </c>
      <c r="F474" s="376">
        <f t="shared" si="31"/>
        <v>222816</v>
      </c>
      <c r="G474" s="377">
        <f t="shared" si="32"/>
        <v>231958</v>
      </c>
      <c r="H474" s="388">
        <v>162477</v>
      </c>
      <c r="I474" s="389">
        <v>154611</v>
      </c>
      <c r="J474" s="388">
        <v>1412</v>
      </c>
      <c r="K474" s="390">
        <v>15145</v>
      </c>
      <c r="L474" s="381">
        <v>55784</v>
      </c>
      <c r="M474" s="388">
        <v>0</v>
      </c>
      <c r="N474" s="388">
        <v>2263</v>
      </c>
      <c r="O474" s="389">
        <v>59191</v>
      </c>
      <c r="P474" s="389">
        <v>0</v>
      </c>
      <c r="Q474" s="390">
        <v>2411</v>
      </c>
      <c r="R474" s="381">
        <v>880</v>
      </c>
      <c r="S474" s="390">
        <v>600</v>
      </c>
      <c r="T474" s="383">
        <f t="shared" si="33"/>
        <v>13533</v>
      </c>
      <c r="U474" s="384">
        <f t="shared" si="34"/>
        <v>13956</v>
      </c>
      <c r="V474" s="388">
        <v>5492</v>
      </c>
      <c r="W474" s="389">
        <v>6356</v>
      </c>
      <c r="X474" s="391">
        <v>532</v>
      </c>
      <c r="Y474" s="390">
        <v>496</v>
      </c>
      <c r="Z474" s="381">
        <v>7189</v>
      </c>
      <c r="AA474" s="388">
        <v>0</v>
      </c>
      <c r="AB474" s="388">
        <v>1</v>
      </c>
      <c r="AC474" s="389">
        <v>6932</v>
      </c>
      <c r="AD474" s="389">
        <v>0</v>
      </c>
      <c r="AE474" s="392">
        <v>55</v>
      </c>
      <c r="AF474" s="381">
        <v>319</v>
      </c>
      <c r="AG474" s="389">
        <v>117</v>
      </c>
    </row>
    <row r="475" spans="1:33" s="404" customFormat="1" ht="12.75" customHeight="1">
      <c r="A475" s="444" t="s">
        <v>387</v>
      </c>
      <c r="B475" s="443" t="s">
        <v>396</v>
      </c>
      <c r="C475" s="443"/>
      <c r="D475" s="444">
        <v>221768</v>
      </c>
      <c r="E475" s="485">
        <v>5</v>
      </c>
      <c r="F475" s="376">
        <f t="shared" si="31"/>
        <v>193747</v>
      </c>
      <c r="G475" s="377">
        <f t="shared" si="32"/>
        <v>189533</v>
      </c>
      <c r="H475" s="388">
        <v>181964</v>
      </c>
      <c r="I475" s="389">
        <v>176444</v>
      </c>
      <c r="J475" s="388">
        <v>2111</v>
      </c>
      <c r="K475" s="390">
        <v>1324</v>
      </c>
      <c r="L475" s="381">
        <v>7473</v>
      </c>
      <c r="M475" s="388">
        <v>1989</v>
      </c>
      <c r="N475" s="388">
        <v>21</v>
      </c>
      <c r="O475" s="389">
        <v>8351</v>
      </c>
      <c r="P475" s="389">
        <v>3191</v>
      </c>
      <c r="Q475" s="390">
        <v>51</v>
      </c>
      <c r="R475" s="381">
        <v>189</v>
      </c>
      <c r="S475" s="390">
        <v>172</v>
      </c>
      <c r="T475" s="383">
        <f t="shared" si="33"/>
        <v>7808</v>
      </c>
      <c r="U475" s="384">
        <f t="shared" si="34"/>
        <v>6675</v>
      </c>
      <c r="V475" s="388">
        <v>2527</v>
      </c>
      <c r="W475" s="389">
        <v>2726</v>
      </c>
      <c r="X475" s="391">
        <v>61</v>
      </c>
      <c r="Y475" s="390">
        <v>53</v>
      </c>
      <c r="Z475" s="381">
        <v>5093</v>
      </c>
      <c r="AA475" s="388">
        <v>111</v>
      </c>
      <c r="AB475" s="388">
        <v>0</v>
      </c>
      <c r="AC475" s="389">
        <v>3337</v>
      </c>
      <c r="AD475" s="389">
        <v>559</v>
      </c>
      <c r="AE475" s="392">
        <v>0</v>
      </c>
      <c r="AF475" s="381">
        <v>16</v>
      </c>
      <c r="AG475" s="389">
        <v>0</v>
      </c>
    </row>
    <row r="476" spans="1:33" s="404" customFormat="1" ht="12.75" customHeight="1">
      <c r="A476" s="444" t="s">
        <v>387</v>
      </c>
      <c r="B476" s="443" t="s">
        <v>397</v>
      </c>
      <c r="C476" s="443"/>
      <c r="D476" s="444">
        <v>219824</v>
      </c>
      <c r="E476" s="485">
        <v>8</v>
      </c>
      <c r="F476" s="376">
        <f t="shared" si="31"/>
        <v>182926</v>
      </c>
      <c r="G476" s="377">
        <f t="shared" si="32"/>
        <v>206006</v>
      </c>
      <c r="H476" s="388">
        <v>134909</v>
      </c>
      <c r="I476" s="389">
        <v>126190</v>
      </c>
      <c r="J476" s="388">
        <v>1697</v>
      </c>
      <c r="K476" s="390">
        <v>9093</v>
      </c>
      <c r="L476" s="381">
        <v>32283</v>
      </c>
      <c r="M476" s="388">
        <v>0</v>
      </c>
      <c r="N476" s="388">
        <v>13773</v>
      </c>
      <c r="O476" s="389">
        <v>40317</v>
      </c>
      <c r="P476" s="389">
        <v>0</v>
      </c>
      <c r="Q476" s="390">
        <v>30134</v>
      </c>
      <c r="R476" s="381">
        <v>264</v>
      </c>
      <c r="S476" s="390">
        <v>272</v>
      </c>
      <c r="T476" s="383">
        <f t="shared" si="33"/>
        <v>0</v>
      </c>
      <c r="U476" s="384">
        <f t="shared" si="34"/>
        <v>0</v>
      </c>
      <c r="V476" s="388"/>
      <c r="W476" s="389"/>
      <c r="X476" s="391"/>
      <c r="Y476" s="390"/>
      <c r="Z476" s="381"/>
      <c r="AA476" s="388"/>
      <c r="AB476" s="388"/>
      <c r="AC476" s="389"/>
      <c r="AD476" s="389"/>
      <c r="AE476" s="392"/>
      <c r="AF476" s="381"/>
      <c r="AG476" s="389"/>
    </row>
    <row r="477" spans="1:33" s="404" customFormat="1" ht="12.75" customHeight="1">
      <c r="A477" s="444" t="s">
        <v>387</v>
      </c>
      <c r="B477" s="443" t="s">
        <v>398</v>
      </c>
      <c r="C477" s="443"/>
      <c r="D477" s="444">
        <v>221643</v>
      </c>
      <c r="E477" s="485">
        <v>8</v>
      </c>
      <c r="F477" s="376">
        <f t="shared" si="31"/>
        <v>202757</v>
      </c>
      <c r="G477" s="377">
        <f t="shared" si="32"/>
        <v>226193</v>
      </c>
      <c r="H477" s="388">
        <v>170920</v>
      </c>
      <c r="I477" s="389">
        <v>164209</v>
      </c>
      <c r="J477" s="388">
        <v>652</v>
      </c>
      <c r="K477" s="390">
        <v>28803</v>
      </c>
      <c r="L477" s="381">
        <v>25712</v>
      </c>
      <c r="M477" s="388">
        <v>1055</v>
      </c>
      <c r="N477" s="388">
        <v>4145</v>
      </c>
      <c r="O477" s="389">
        <v>27318</v>
      </c>
      <c r="P477" s="389">
        <v>1367</v>
      </c>
      <c r="Q477" s="390">
        <v>4323</v>
      </c>
      <c r="R477" s="381">
        <v>273</v>
      </c>
      <c r="S477" s="390">
        <v>173</v>
      </c>
      <c r="T477" s="383">
        <f t="shared" si="33"/>
        <v>0</v>
      </c>
      <c r="U477" s="384">
        <f t="shared" si="34"/>
        <v>0</v>
      </c>
      <c r="V477" s="388"/>
      <c r="W477" s="389"/>
      <c r="X477" s="391"/>
      <c r="Y477" s="390"/>
      <c r="Z477" s="381"/>
      <c r="AA477" s="388"/>
      <c r="AB477" s="388"/>
      <c r="AC477" s="389"/>
      <c r="AD477" s="389"/>
      <c r="AE477" s="392"/>
      <c r="AF477" s="381"/>
      <c r="AG477" s="389"/>
    </row>
    <row r="478" spans="1:33" s="404" customFormat="1" ht="12.75" customHeight="1">
      <c r="A478" s="444" t="s">
        <v>387</v>
      </c>
      <c r="B478" s="443" t="s">
        <v>399</v>
      </c>
      <c r="C478" s="443"/>
      <c r="D478" s="444">
        <v>221485</v>
      </c>
      <c r="E478" s="485">
        <v>8</v>
      </c>
      <c r="F478" s="376">
        <f t="shared" si="31"/>
        <v>267602</v>
      </c>
      <c r="G478" s="377">
        <f t="shared" si="32"/>
        <v>285351</v>
      </c>
      <c r="H478" s="388">
        <v>226729</v>
      </c>
      <c r="I478" s="389">
        <v>240506</v>
      </c>
      <c r="J478" s="388">
        <v>3754</v>
      </c>
      <c r="K478" s="390">
        <v>1090</v>
      </c>
      <c r="L478" s="381">
        <v>22478</v>
      </c>
      <c r="M478" s="388">
        <v>4020</v>
      </c>
      <c r="N478" s="388">
        <v>10528</v>
      </c>
      <c r="O478" s="389">
        <v>27381</v>
      </c>
      <c r="P478" s="389">
        <v>3855</v>
      </c>
      <c r="Q478" s="390">
        <v>12415</v>
      </c>
      <c r="R478" s="381">
        <v>93</v>
      </c>
      <c r="S478" s="390">
        <v>104</v>
      </c>
      <c r="T478" s="383">
        <f t="shared" si="33"/>
        <v>0</v>
      </c>
      <c r="U478" s="384">
        <f t="shared" si="34"/>
        <v>0</v>
      </c>
      <c r="V478" s="388"/>
      <c r="W478" s="389"/>
      <c r="X478" s="391"/>
      <c r="Y478" s="390"/>
      <c r="Z478" s="381"/>
      <c r="AA478" s="388"/>
      <c r="AB478" s="388"/>
      <c r="AC478" s="389"/>
      <c r="AD478" s="389"/>
      <c r="AE478" s="392"/>
      <c r="AF478" s="381"/>
      <c r="AG478" s="389"/>
    </row>
    <row r="479" spans="1:33" s="404" customFormat="1" ht="12.75" customHeight="1">
      <c r="A479" s="444" t="s">
        <v>387</v>
      </c>
      <c r="B479" s="443" t="s">
        <v>400</v>
      </c>
      <c r="C479" s="443"/>
      <c r="D479" s="444">
        <v>219879</v>
      </c>
      <c r="E479" s="485">
        <v>9</v>
      </c>
      <c r="F479" s="376">
        <f t="shared" si="31"/>
        <v>73904</v>
      </c>
      <c r="G479" s="377">
        <f t="shared" si="32"/>
        <v>77183</v>
      </c>
      <c r="H479" s="388">
        <v>55102</v>
      </c>
      <c r="I479" s="389">
        <v>53523</v>
      </c>
      <c r="J479" s="388">
        <v>3910</v>
      </c>
      <c r="K479" s="390">
        <v>6649</v>
      </c>
      <c r="L479" s="381">
        <v>8576</v>
      </c>
      <c r="M479" s="388">
        <v>2047</v>
      </c>
      <c r="N479" s="388">
        <v>2691</v>
      </c>
      <c r="O479" s="389">
        <v>10044</v>
      </c>
      <c r="P479" s="389">
        <v>957</v>
      </c>
      <c r="Q479" s="390">
        <v>4650</v>
      </c>
      <c r="R479" s="381">
        <v>1578</v>
      </c>
      <c r="S479" s="390">
        <v>1360</v>
      </c>
      <c r="T479" s="383">
        <f t="shared" si="33"/>
        <v>0</v>
      </c>
      <c r="U479" s="384">
        <f t="shared" si="34"/>
        <v>0</v>
      </c>
      <c r="V479" s="388"/>
      <c r="W479" s="389"/>
      <c r="X479" s="391"/>
      <c r="Y479" s="390"/>
      <c r="Z479" s="381"/>
      <c r="AA479" s="388"/>
      <c r="AB479" s="388"/>
      <c r="AC479" s="389"/>
      <c r="AD479" s="389"/>
      <c r="AE479" s="392"/>
      <c r="AF479" s="381"/>
      <c r="AG479" s="389"/>
    </row>
    <row r="480" spans="1:33" s="404" customFormat="1" ht="12.75" customHeight="1">
      <c r="A480" s="444" t="s">
        <v>387</v>
      </c>
      <c r="B480" s="443" t="s">
        <v>401</v>
      </c>
      <c r="C480" s="443"/>
      <c r="D480" s="444">
        <v>219888</v>
      </c>
      <c r="E480" s="485">
        <v>9</v>
      </c>
      <c r="F480" s="376">
        <f t="shared" si="31"/>
        <v>105321</v>
      </c>
      <c r="G480" s="377">
        <f t="shared" si="32"/>
        <v>112558</v>
      </c>
      <c r="H480" s="388">
        <v>78204</v>
      </c>
      <c r="I480" s="389">
        <v>75972</v>
      </c>
      <c r="J480" s="388">
        <v>524</v>
      </c>
      <c r="K480" s="390">
        <v>7395</v>
      </c>
      <c r="L480" s="381">
        <v>13213</v>
      </c>
      <c r="M480" s="388">
        <v>6700</v>
      </c>
      <c r="N480" s="388">
        <v>6573</v>
      </c>
      <c r="O480" s="389">
        <v>15625</v>
      </c>
      <c r="P480" s="389">
        <v>6441</v>
      </c>
      <c r="Q480" s="390">
        <v>7018</v>
      </c>
      <c r="R480" s="381">
        <v>107</v>
      </c>
      <c r="S480" s="390">
        <v>107</v>
      </c>
      <c r="T480" s="383">
        <f t="shared" si="33"/>
        <v>0</v>
      </c>
      <c r="U480" s="384">
        <f t="shared" si="34"/>
        <v>0</v>
      </c>
      <c r="V480" s="388"/>
      <c r="W480" s="389"/>
      <c r="X480" s="391"/>
      <c r="Y480" s="390"/>
      <c r="Z480" s="381"/>
      <c r="AA480" s="388"/>
      <c r="AB480" s="388"/>
      <c r="AC480" s="389"/>
      <c r="AD480" s="389"/>
      <c r="AE480" s="392"/>
      <c r="AF480" s="381"/>
      <c r="AG480" s="389"/>
    </row>
    <row r="481" spans="1:33" s="404" customFormat="1" ht="12.75" customHeight="1">
      <c r="A481" s="444" t="s">
        <v>387</v>
      </c>
      <c r="B481" s="443" t="s">
        <v>402</v>
      </c>
      <c r="C481" s="443"/>
      <c r="D481" s="444">
        <v>220400</v>
      </c>
      <c r="E481" s="485">
        <v>9</v>
      </c>
      <c r="F481" s="376">
        <f t="shared" si="31"/>
        <v>102180</v>
      </c>
      <c r="G481" s="377">
        <f t="shared" si="32"/>
        <v>109536</v>
      </c>
      <c r="H481" s="388">
        <v>63861</v>
      </c>
      <c r="I481" s="389">
        <v>62450</v>
      </c>
      <c r="J481" s="388">
        <v>1529</v>
      </c>
      <c r="K481" s="390">
        <v>1232</v>
      </c>
      <c r="L481" s="381">
        <v>21546</v>
      </c>
      <c r="M481" s="388">
        <v>1586</v>
      </c>
      <c r="N481" s="388">
        <v>13623</v>
      </c>
      <c r="O481" s="389">
        <v>28762</v>
      </c>
      <c r="P481" s="389">
        <v>4114</v>
      </c>
      <c r="Q481" s="390">
        <v>12771</v>
      </c>
      <c r="R481" s="381">
        <v>35</v>
      </c>
      <c r="S481" s="390">
        <v>207</v>
      </c>
      <c r="T481" s="383">
        <f t="shared" si="33"/>
        <v>0</v>
      </c>
      <c r="U481" s="384">
        <f t="shared" si="34"/>
        <v>0</v>
      </c>
      <c r="V481" s="388"/>
      <c r="W481" s="389"/>
      <c r="X481" s="391"/>
      <c r="Y481" s="390"/>
      <c r="Z481" s="381"/>
      <c r="AA481" s="388"/>
      <c r="AB481" s="388"/>
      <c r="AC481" s="389"/>
      <c r="AD481" s="389"/>
      <c r="AE481" s="392"/>
      <c r="AF481" s="381"/>
      <c r="AG481" s="389"/>
    </row>
    <row r="482" spans="1:33" s="404" customFormat="1" ht="12.75" customHeight="1">
      <c r="A482" s="444" t="s">
        <v>387</v>
      </c>
      <c r="B482" s="443" t="s">
        <v>403</v>
      </c>
      <c r="C482" s="443"/>
      <c r="D482" s="444">
        <v>221096</v>
      </c>
      <c r="E482" s="485">
        <v>9</v>
      </c>
      <c r="F482" s="376">
        <f t="shared" si="31"/>
        <v>99612</v>
      </c>
      <c r="G482" s="377">
        <f t="shared" si="32"/>
        <v>105775</v>
      </c>
      <c r="H482" s="388">
        <v>80499</v>
      </c>
      <c r="I482" s="389">
        <v>81533</v>
      </c>
      <c r="J482" s="388">
        <v>14</v>
      </c>
      <c r="K482" s="390">
        <v>3684</v>
      </c>
      <c r="L482" s="381">
        <v>13303</v>
      </c>
      <c r="M482" s="388">
        <v>5611</v>
      </c>
      <c r="N482" s="388">
        <v>0</v>
      </c>
      <c r="O482" s="389">
        <v>14923</v>
      </c>
      <c r="P482" s="389">
        <v>5478</v>
      </c>
      <c r="Q482" s="390">
        <v>0</v>
      </c>
      <c r="R482" s="381">
        <v>185</v>
      </c>
      <c r="S482" s="390">
        <v>157</v>
      </c>
      <c r="T482" s="383">
        <f t="shared" si="33"/>
        <v>0</v>
      </c>
      <c r="U482" s="384">
        <f t="shared" si="34"/>
        <v>0</v>
      </c>
      <c r="V482" s="388"/>
      <c r="W482" s="389"/>
      <c r="X482" s="391"/>
      <c r="Y482" s="390"/>
      <c r="Z482" s="381"/>
      <c r="AA482" s="388"/>
      <c r="AB482" s="388"/>
      <c r="AC482" s="389"/>
      <c r="AD482" s="389"/>
      <c r="AE482" s="392"/>
      <c r="AF482" s="381"/>
      <c r="AG482" s="389"/>
    </row>
    <row r="483" spans="1:33" s="404" customFormat="1" ht="12.75" customHeight="1">
      <c r="A483" s="444" t="s">
        <v>387</v>
      </c>
      <c r="B483" s="443" t="s">
        <v>404</v>
      </c>
      <c r="C483" s="551" t="s">
        <v>958</v>
      </c>
      <c r="D483" s="444">
        <v>221184</v>
      </c>
      <c r="E483" s="485">
        <v>9</v>
      </c>
      <c r="F483" s="376">
        <f t="shared" si="31"/>
        <v>165167</v>
      </c>
      <c r="G483" s="377">
        <f t="shared" si="32"/>
        <v>188287</v>
      </c>
      <c r="H483" s="388">
        <v>129915</v>
      </c>
      <c r="I483" s="389">
        <v>136317</v>
      </c>
      <c r="J483" s="388">
        <v>87</v>
      </c>
      <c r="K483" s="390">
        <v>9434</v>
      </c>
      <c r="L483" s="381">
        <v>33442</v>
      </c>
      <c r="M483" s="388">
        <v>0</v>
      </c>
      <c r="N483" s="388">
        <v>1698</v>
      </c>
      <c r="O483" s="389">
        <v>38987</v>
      </c>
      <c r="P483" s="389">
        <v>0</v>
      </c>
      <c r="Q483" s="390">
        <v>3447</v>
      </c>
      <c r="R483" s="381">
        <v>25</v>
      </c>
      <c r="S483" s="390">
        <v>102</v>
      </c>
      <c r="T483" s="383">
        <f t="shared" si="33"/>
        <v>0</v>
      </c>
      <c r="U483" s="384">
        <f t="shared" si="34"/>
        <v>0</v>
      </c>
      <c r="V483" s="388"/>
      <c r="W483" s="389"/>
      <c r="X483" s="391"/>
      <c r="Y483" s="390"/>
      <c r="Z483" s="381"/>
      <c r="AA483" s="388"/>
      <c r="AB483" s="388"/>
      <c r="AC483" s="389"/>
      <c r="AD483" s="389"/>
      <c r="AE483" s="392"/>
      <c r="AF483" s="381"/>
      <c r="AG483" s="389"/>
    </row>
    <row r="484" spans="1:33" s="404" customFormat="1" ht="12.75" customHeight="1">
      <c r="A484" s="444" t="s">
        <v>387</v>
      </c>
      <c r="B484" s="443" t="s">
        <v>405</v>
      </c>
      <c r="C484" s="443"/>
      <c r="D484" s="444">
        <v>221908</v>
      </c>
      <c r="E484" s="485">
        <v>9</v>
      </c>
      <c r="F484" s="376">
        <f t="shared" si="31"/>
        <v>127736</v>
      </c>
      <c r="G484" s="377">
        <f t="shared" si="32"/>
        <v>141525</v>
      </c>
      <c r="H484" s="388">
        <v>105256</v>
      </c>
      <c r="I484" s="389">
        <v>108718</v>
      </c>
      <c r="J484" s="388">
        <v>1688</v>
      </c>
      <c r="K484" s="390">
        <v>9828</v>
      </c>
      <c r="L484" s="381">
        <v>6531</v>
      </c>
      <c r="M484" s="388">
        <v>3219</v>
      </c>
      <c r="N484" s="388">
        <v>10996</v>
      </c>
      <c r="O484" s="389">
        <v>7172</v>
      </c>
      <c r="P484" s="389">
        <v>3606</v>
      </c>
      <c r="Q484" s="390">
        <v>12137</v>
      </c>
      <c r="R484" s="381">
        <v>46</v>
      </c>
      <c r="S484" s="390">
        <v>64</v>
      </c>
      <c r="T484" s="383">
        <f t="shared" si="33"/>
        <v>0</v>
      </c>
      <c r="U484" s="384">
        <f t="shared" si="34"/>
        <v>0</v>
      </c>
      <c r="V484" s="388"/>
      <c r="W484" s="389"/>
      <c r="X484" s="391"/>
      <c r="Y484" s="390"/>
      <c r="Z484" s="381"/>
      <c r="AA484" s="388"/>
      <c r="AB484" s="388"/>
      <c r="AC484" s="389"/>
      <c r="AD484" s="389"/>
      <c r="AE484" s="392"/>
      <c r="AF484" s="381"/>
      <c r="AG484" s="389"/>
    </row>
    <row r="485" spans="1:33" s="404" customFormat="1" ht="12.75" customHeight="1">
      <c r="A485" s="444" t="s">
        <v>387</v>
      </c>
      <c r="B485" s="443" t="s">
        <v>406</v>
      </c>
      <c r="C485" s="443"/>
      <c r="D485" s="444">
        <v>221397</v>
      </c>
      <c r="E485" s="485">
        <v>9</v>
      </c>
      <c r="F485" s="376">
        <f t="shared" si="31"/>
        <v>124148</v>
      </c>
      <c r="G485" s="377">
        <f t="shared" si="32"/>
        <v>135080</v>
      </c>
      <c r="H485" s="388">
        <v>92637</v>
      </c>
      <c r="I485" s="389">
        <v>93396</v>
      </c>
      <c r="J485" s="388">
        <v>1844</v>
      </c>
      <c r="K485" s="390">
        <v>3473</v>
      </c>
      <c r="L485" s="381">
        <v>19927</v>
      </c>
      <c r="M485" s="388">
        <v>7496</v>
      </c>
      <c r="N485" s="388">
        <v>2159</v>
      </c>
      <c r="O485" s="389">
        <v>24860</v>
      </c>
      <c r="P485" s="389">
        <v>8852</v>
      </c>
      <c r="Q485" s="390">
        <v>4397</v>
      </c>
      <c r="R485" s="381">
        <v>85</v>
      </c>
      <c r="S485" s="390">
        <v>102</v>
      </c>
      <c r="T485" s="383">
        <f t="shared" si="33"/>
        <v>0</v>
      </c>
      <c r="U485" s="384">
        <f t="shared" si="34"/>
        <v>0</v>
      </c>
      <c r="V485" s="388"/>
      <c r="W485" s="389"/>
      <c r="X485" s="391"/>
      <c r="Y485" s="390"/>
      <c r="Z485" s="381"/>
      <c r="AA485" s="388"/>
      <c r="AB485" s="388"/>
      <c r="AC485" s="389"/>
      <c r="AD485" s="389"/>
      <c r="AE485" s="392"/>
      <c r="AF485" s="381"/>
      <c r="AG485" s="389"/>
    </row>
    <row r="486" spans="1:33" s="404" customFormat="1" ht="12.75" customHeight="1">
      <c r="A486" s="444" t="s">
        <v>387</v>
      </c>
      <c r="B486" s="443" t="s">
        <v>407</v>
      </c>
      <c r="C486" s="551" t="s">
        <v>785</v>
      </c>
      <c r="D486" s="444">
        <v>222053</v>
      </c>
      <c r="E486" s="485">
        <v>9</v>
      </c>
      <c r="F486" s="376">
        <f t="shared" si="31"/>
        <v>165237</v>
      </c>
      <c r="G486" s="377">
        <f t="shared" si="32"/>
        <v>177755</v>
      </c>
      <c r="H486" s="388">
        <v>119517</v>
      </c>
      <c r="I486" s="389">
        <v>124494</v>
      </c>
      <c r="J486" s="388">
        <v>6508</v>
      </c>
      <c r="K486" s="390">
        <v>4641</v>
      </c>
      <c r="L486" s="381">
        <v>31168</v>
      </c>
      <c r="M486" s="388">
        <v>743</v>
      </c>
      <c r="N486" s="388">
        <v>7055</v>
      </c>
      <c r="O486" s="389">
        <v>39394</v>
      </c>
      <c r="P486" s="389">
        <v>343</v>
      </c>
      <c r="Q486" s="390">
        <v>8452</v>
      </c>
      <c r="R486" s="381">
        <v>246</v>
      </c>
      <c r="S486" s="390">
        <v>431</v>
      </c>
      <c r="T486" s="383">
        <f t="shared" si="33"/>
        <v>0</v>
      </c>
      <c r="U486" s="384">
        <f t="shared" si="34"/>
        <v>0</v>
      </c>
      <c r="V486" s="388"/>
      <c r="W486" s="389"/>
      <c r="X486" s="391"/>
      <c r="Y486" s="390"/>
      <c r="Z486" s="381"/>
      <c r="AA486" s="388"/>
      <c r="AB486" s="388"/>
      <c r="AC486" s="389"/>
      <c r="AD486" s="389"/>
      <c r="AE486" s="392"/>
      <c r="AF486" s="381"/>
      <c r="AG486" s="389"/>
    </row>
    <row r="487" spans="1:33" s="404" customFormat="1" ht="12.75" customHeight="1">
      <c r="A487" s="444" t="s">
        <v>387</v>
      </c>
      <c r="B487" s="443" t="s">
        <v>408</v>
      </c>
      <c r="C487" s="443"/>
      <c r="D487" s="444">
        <v>222062</v>
      </c>
      <c r="E487" s="485">
        <v>9</v>
      </c>
      <c r="F487" s="376">
        <f t="shared" si="31"/>
        <v>140252</v>
      </c>
      <c r="G487" s="377">
        <f t="shared" si="32"/>
        <v>147715</v>
      </c>
      <c r="H487" s="388">
        <v>106090</v>
      </c>
      <c r="I487" s="389">
        <v>107742</v>
      </c>
      <c r="J487" s="388">
        <v>781</v>
      </c>
      <c r="K487" s="390">
        <v>8269</v>
      </c>
      <c r="L487" s="381">
        <v>13654</v>
      </c>
      <c r="M487" s="388">
        <v>7083</v>
      </c>
      <c r="N487" s="388">
        <v>12636</v>
      </c>
      <c r="O487" s="389">
        <v>16078</v>
      </c>
      <c r="P487" s="389">
        <v>4026</v>
      </c>
      <c r="Q487" s="390">
        <v>11586</v>
      </c>
      <c r="R487" s="381">
        <v>8</v>
      </c>
      <c r="S487" s="390">
        <v>14</v>
      </c>
      <c r="T487" s="383">
        <f t="shared" si="33"/>
        <v>0</v>
      </c>
      <c r="U487" s="384">
        <f t="shared" si="34"/>
        <v>0</v>
      </c>
      <c r="V487" s="388"/>
      <c r="W487" s="389"/>
      <c r="X487" s="391"/>
      <c r="Y487" s="390"/>
      <c r="Z487" s="381"/>
      <c r="AA487" s="388"/>
      <c r="AB487" s="388"/>
      <c r="AC487" s="389"/>
      <c r="AD487" s="389"/>
      <c r="AE487" s="392"/>
      <c r="AF487" s="381"/>
      <c r="AG487" s="389"/>
    </row>
    <row r="488" spans="1:33" s="404" customFormat="1" ht="12.75" customHeight="1">
      <c r="A488" s="444" t="s">
        <v>387</v>
      </c>
      <c r="B488" s="443" t="s">
        <v>409</v>
      </c>
      <c r="C488" s="551" t="s">
        <v>842</v>
      </c>
      <c r="D488" s="444">
        <v>220057</v>
      </c>
      <c r="E488" s="485">
        <v>10</v>
      </c>
      <c r="F488" s="376">
        <f t="shared" si="31"/>
        <v>61785</v>
      </c>
      <c r="G488" s="377">
        <f t="shared" si="32"/>
        <v>72924</v>
      </c>
      <c r="H488" s="388">
        <v>49145</v>
      </c>
      <c r="I488" s="389">
        <v>47414</v>
      </c>
      <c r="J488" s="388">
        <v>476</v>
      </c>
      <c r="K488" s="390">
        <v>8655</v>
      </c>
      <c r="L488" s="381">
        <v>5962</v>
      </c>
      <c r="M488" s="388">
        <v>21</v>
      </c>
      <c r="N488" s="388">
        <v>5959</v>
      </c>
      <c r="O488" s="389">
        <v>7543</v>
      </c>
      <c r="P488" s="389">
        <v>961</v>
      </c>
      <c r="Q488" s="390">
        <v>8061</v>
      </c>
      <c r="R488" s="381">
        <v>222</v>
      </c>
      <c r="S488" s="390">
        <v>290</v>
      </c>
      <c r="T488" s="383">
        <f t="shared" si="33"/>
        <v>0</v>
      </c>
      <c r="U488" s="384">
        <f t="shared" si="34"/>
        <v>0</v>
      </c>
      <c r="V488" s="388"/>
      <c r="W488" s="389"/>
      <c r="X488" s="391"/>
      <c r="Y488" s="390"/>
      <c r="Z488" s="381"/>
      <c r="AA488" s="388"/>
      <c r="AB488" s="388"/>
      <c r="AC488" s="389"/>
      <c r="AD488" s="389"/>
      <c r="AE488" s="392"/>
      <c r="AF488" s="381"/>
      <c r="AG488" s="389"/>
    </row>
    <row r="489" spans="1:33" s="404" customFormat="1" ht="12.75" customHeight="1">
      <c r="A489" s="444" t="s">
        <v>387</v>
      </c>
      <c r="B489" s="443" t="s">
        <v>410</v>
      </c>
      <c r="C489" s="443"/>
      <c r="D489" s="444">
        <v>219596</v>
      </c>
      <c r="E489" s="485">
        <v>13</v>
      </c>
      <c r="F489" s="376">
        <f t="shared" si="31"/>
        <v>265960</v>
      </c>
      <c r="G489" s="377">
        <f t="shared" si="32"/>
        <v>0</v>
      </c>
      <c r="H489" s="388">
        <v>265960</v>
      </c>
      <c r="I489" s="389"/>
      <c r="J489" s="388"/>
      <c r="K489" s="390"/>
      <c r="L489" s="381"/>
      <c r="M489" s="388"/>
      <c r="N489" s="388"/>
      <c r="O489" s="389"/>
      <c r="P489" s="389"/>
      <c r="Q489" s="390"/>
      <c r="R489" s="381"/>
      <c r="S489" s="390"/>
      <c r="T489" s="383">
        <f t="shared" si="33"/>
        <v>0</v>
      </c>
      <c r="U489" s="384">
        <f t="shared" si="34"/>
        <v>0</v>
      </c>
      <c r="V489" s="388"/>
      <c r="W489" s="389"/>
      <c r="X489" s="391"/>
      <c r="Y489" s="390"/>
      <c r="Z489" s="381"/>
      <c r="AA489" s="388"/>
      <c r="AB489" s="388"/>
      <c r="AC489" s="389"/>
      <c r="AD489" s="389"/>
      <c r="AE489" s="392"/>
      <c r="AF489" s="381"/>
      <c r="AG489" s="389"/>
    </row>
    <row r="490" spans="1:33" s="404" customFormat="1" ht="12.75" customHeight="1">
      <c r="A490" s="444" t="s">
        <v>387</v>
      </c>
      <c r="B490" s="443" t="s">
        <v>411</v>
      </c>
      <c r="C490" s="551" t="s">
        <v>960</v>
      </c>
      <c r="D490" s="444" t="s">
        <v>412</v>
      </c>
      <c r="E490" s="485">
        <v>13</v>
      </c>
      <c r="F490" s="376">
        <f t="shared" si="31"/>
        <v>930245</v>
      </c>
      <c r="G490" s="377">
        <f t="shared" si="32"/>
        <v>0</v>
      </c>
      <c r="H490" s="388">
        <v>930245</v>
      </c>
      <c r="I490" s="389"/>
      <c r="J490" s="388"/>
      <c r="K490" s="390"/>
      <c r="L490" s="381"/>
      <c r="M490" s="388"/>
      <c r="N490" s="388"/>
      <c r="O490" s="389"/>
      <c r="P490" s="389"/>
      <c r="Q490" s="390"/>
      <c r="R490" s="381"/>
      <c r="S490" s="390"/>
      <c r="T490" s="383">
        <f t="shared" si="33"/>
        <v>0</v>
      </c>
      <c r="U490" s="384">
        <f t="shared" si="34"/>
        <v>0</v>
      </c>
      <c r="V490" s="388"/>
      <c r="W490" s="389"/>
      <c r="X490" s="391"/>
      <c r="Y490" s="390"/>
      <c r="Z490" s="381"/>
      <c r="AA490" s="388"/>
      <c r="AB490" s="388"/>
      <c r="AC490" s="389"/>
      <c r="AD490" s="389"/>
      <c r="AE490" s="392"/>
      <c r="AF490" s="381"/>
      <c r="AG490" s="389"/>
    </row>
    <row r="491" spans="1:33" s="404" customFormat="1" ht="12.75" customHeight="1">
      <c r="A491" s="444" t="s">
        <v>387</v>
      </c>
      <c r="B491" s="443" t="s">
        <v>413</v>
      </c>
      <c r="C491" s="443"/>
      <c r="D491" s="444">
        <v>219921</v>
      </c>
      <c r="E491" s="485">
        <v>13</v>
      </c>
      <c r="F491" s="376">
        <f t="shared" si="31"/>
        <v>189725</v>
      </c>
      <c r="G491" s="377">
        <f t="shared" si="32"/>
        <v>0</v>
      </c>
      <c r="H491" s="388">
        <v>189725</v>
      </c>
      <c r="I491" s="389"/>
      <c r="J491" s="388"/>
      <c r="K491" s="390"/>
      <c r="L491" s="381"/>
      <c r="M491" s="388"/>
      <c r="N491" s="388"/>
      <c r="O491" s="389"/>
      <c r="P491" s="389"/>
      <c r="Q491" s="390"/>
      <c r="R491" s="381"/>
      <c r="S491" s="390"/>
      <c r="T491" s="383">
        <f t="shared" si="33"/>
        <v>0</v>
      </c>
      <c r="U491" s="384">
        <f t="shared" si="34"/>
        <v>0</v>
      </c>
      <c r="V491" s="388"/>
      <c r="W491" s="389"/>
      <c r="X491" s="391"/>
      <c r="Y491" s="390"/>
      <c r="Z491" s="381"/>
      <c r="AA491" s="388"/>
      <c r="AB491" s="388"/>
      <c r="AC491" s="389"/>
      <c r="AD491" s="389"/>
      <c r="AE491" s="392"/>
      <c r="AF491" s="381"/>
      <c r="AG491" s="389"/>
    </row>
    <row r="492" spans="1:33" s="404" customFormat="1" ht="12.75" customHeight="1">
      <c r="A492" s="444" t="s">
        <v>387</v>
      </c>
      <c r="B492" s="443" t="s">
        <v>414</v>
      </c>
      <c r="C492" s="443"/>
      <c r="D492" s="444">
        <v>221591</v>
      </c>
      <c r="E492" s="485">
        <v>13</v>
      </c>
      <c r="F492" s="376">
        <f t="shared" si="31"/>
        <v>429175</v>
      </c>
      <c r="G492" s="377">
        <f t="shared" si="32"/>
        <v>0</v>
      </c>
      <c r="H492" s="388">
        <v>429175</v>
      </c>
      <c r="I492" s="389"/>
      <c r="J492" s="388"/>
      <c r="K492" s="390"/>
      <c r="L492" s="381"/>
      <c r="M492" s="388"/>
      <c r="N492" s="388"/>
      <c r="O492" s="389"/>
      <c r="P492" s="389"/>
      <c r="Q492" s="390"/>
      <c r="R492" s="381"/>
      <c r="S492" s="390"/>
      <c r="T492" s="383">
        <f t="shared" si="33"/>
        <v>0</v>
      </c>
      <c r="U492" s="384">
        <f t="shared" si="34"/>
        <v>0</v>
      </c>
      <c r="V492" s="388"/>
      <c r="W492" s="389"/>
      <c r="X492" s="391"/>
      <c r="Y492" s="390"/>
      <c r="Z492" s="381"/>
      <c r="AA492" s="388"/>
      <c r="AB492" s="388"/>
      <c r="AC492" s="389"/>
      <c r="AD492" s="389"/>
      <c r="AE492" s="392"/>
      <c r="AF492" s="381"/>
      <c r="AG492" s="389"/>
    </row>
    <row r="493" spans="1:33" s="404" customFormat="1" ht="12.75" customHeight="1">
      <c r="A493" s="444" t="s">
        <v>387</v>
      </c>
      <c r="B493" s="443" t="s">
        <v>415</v>
      </c>
      <c r="C493" s="443"/>
      <c r="D493" s="444">
        <v>221430</v>
      </c>
      <c r="E493" s="485">
        <v>13</v>
      </c>
      <c r="F493" s="376">
        <f t="shared" si="31"/>
        <v>270260</v>
      </c>
      <c r="G493" s="377">
        <f t="shared" si="32"/>
        <v>0</v>
      </c>
      <c r="H493" s="388">
        <v>270260</v>
      </c>
      <c r="I493" s="389"/>
      <c r="J493" s="388"/>
      <c r="K493" s="390"/>
      <c r="L493" s="381"/>
      <c r="M493" s="388"/>
      <c r="N493" s="388"/>
      <c r="O493" s="389"/>
      <c r="P493" s="389"/>
      <c r="Q493" s="390"/>
      <c r="R493" s="381"/>
      <c r="S493" s="390"/>
      <c r="T493" s="383">
        <f t="shared" si="33"/>
        <v>0</v>
      </c>
      <c r="U493" s="384">
        <f t="shared" si="34"/>
        <v>0</v>
      </c>
      <c r="V493" s="388"/>
      <c r="W493" s="389"/>
      <c r="X493" s="391"/>
      <c r="Y493" s="390"/>
      <c r="Z493" s="381"/>
      <c r="AA493" s="388"/>
      <c r="AB493" s="388"/>
      <c r="AC493" s="389"/>
      <c r="AD493" s="389"/>
      <c r="AE493" s="392"/>
      <c r="AF493" s="381"/>
      <c r="AG493" s="389"/>
    </row>
    <row r="494" spans="1:33" s="404" customFormat="1" ht="12.75" customHeight="1">
      <c r="A494" s="444" t="s">
        <v>387</v>
      </c>
      <c r="B494" s="443" t="s">
        <v>416</v>
      </c>
      <c r="C494" s="443"/>
      <c r="D494" s="444">
        <v>219994</v>
      </c>
      <c r="E494" s="485">
        <v>13</v>
      </c>
      <c r="F494" s="376">
        <f t="shared" si="31"/>
        <v>522444</v>
      </c>
      <c r="G494" s="377">
        <f t="shared" si="32"/>
        <v>0</v>
      </c>
      <c r="H494" s="388">
        <v>522444</v>
      </c>
      <c r="I494" s="389"/>
      <c r="J494" s="388"/>
      <c r="K494" s="390"/>
      <c r="L494" s="381"/>
      <c r="M494" s="388"/>
      <c r="N494" s="388"/>
      <c r="O494" s="389"/>
      <c r="P494" s="389"/>
      <c r="Q494" s="390"/>
      <c r="R494" s="381"/>
      <c r="S494" s="390"/>
      <c r="T494" s="383">
        <f t="shared" si="33"/>
        <v>0</v>
      </c>
      <c r="U494" s="384">
        <f t="shared" si="34"/>
        <v>0</v>
      </c>
      <c r="V494" s="388"/>
      <c r="W494" s="389"/>
      <c r="X494" s="391"/>
      <c r="Y494" s="390"/>
      <c r="Z494" s="381"/>
      <c r="AA494" s="388"/>
      <c r="AB494" s="388"/>
      <c r="AC494" s="389"/>
      <c r="AD494" s="389"/>
      <c r="AE494" s="392"/>
      <c r="AF494" s="381"/>
      <c r="AG494" s="389"/>
    </row>
    <row r="495" spans="1:33" s="404" customFormat="1" ht="12.75" customHeight="1">
      <c r="A495" s="444" t="s">
        <v>387</v>
      </c>
      <c r="B495" s="443" t="s">
        <v>417</v>
      </c>
      <c r="C495" s="443"/>
      <c r="D495" s="444">
        <v>220127</v>
      </c>
      <c r="E495" s="485">
        <v>13</v>
      </c>
      <c r="F495" s="376">
        <f t="shared" si="31"/>
        <v>499957</v>
      </c>
      <c r="G495" s="377">
        <f t="shared" si="32"/>
        <v>0</v>
      </c>
      <c r="H495" s="388">
        <v>499957</v>
      </c>
      <c r="I495" s="389"/>
      <c r="J495" s="388"/>
      <c r="K495" s="390"/>
      <c r="L495" s="381"/>
      <c r="M495" s="388"/>
      <c r="N495" s="388"/>
      <c r="O495" s="389"/>
      <c r="P495" s="389"/>
      <c r="Q495" s="390"/>
      <c r="R495" s="381"/>
      <c r="S495" s="390"/>
      <c r="T495" s="383">
        <f t="shared" si="33"/>
        <v>0</v>
      </c>
      <c r="U495" s="384">
        <f t="shared" si="34"/>
        <v>0</v>
      </c>
      <c r="V495" s="388"/>
      <c r="W495" s="389"/>
      <c r="X495" s="391"/>
      <c r="Y495" s="390"/>
      <c r="Z495" s="381"/>
      <c r="AA495" s="388"/>
      <c r="AB495" s="388"/>
      <c r="AC495" s="389"/>
      <c r="AD495" s="389"/>
      <c r="AE495" s="392"/>
      <c r="AF495" s="381"/>
      <c r="AG495" s="389"/>
    </row>
    <row r="496" spans="1:33" s="404" customFormat="1" ht="12.75" customHeight="1">
      <c r="A496" s="444" t="s">
        <v>387</v>
      </c>
      <c r="B496" s="443" t="s">
        <v>418</v>
      </c>
      <c r="C496" s="443"/>
      <c r="D496" s="444">
        <v>220251</v>
      </c>
      <c r="E496" s="485">
        <v>13</v>
      </c>
      <c r="F496" s="376">
        <f t="shared" si="31"/>
        <v>294989</v>
      </c>
      <c r="G496" s="377">
        <f t="shared" si="32"/>
        <v>0</v>
      </c>
      <c r="H496" s="388">
        <v>294989</v>
      </c>
      <c r="I496" s="389"/>
      <c r="J496" s="388"/>
      <c r="K496" s="390"/>
      <c r="L496" s="381"/>
      <c r="M496" s="388"/>
      <c r="N496" s="388"/>
      <c r="O496" s="389"/>
      <c r="P496" s="389"/>
      <c r="Q496" s="390"/>
      <c r="R496" s="381"/>
      <c r="S496" s="390"/>
      <c r="T496" s="383">
        <f t="shared" si="33"/>
        <v>0</v>
      </c>
      <c r="U496" s="384">
        <f t="shared" si="34"/>
        <v>0</v>
      </c>
      <c r="V496" s="388"/>
      <c r="W496" s="389"/>
      <c r="X496" s="391"/>
      <c r="Y496" s="390"/>
      <c r="Z496" s="381"/>
      <c r="AA496" s="388"/>
      <c r="AB496" s="388"/>
      <c r="AC496" s="389"/>
      <c r="AD496" s="389"/>
      <c r="AE496" s="392"/>
      <c r="AF496" s="381"/>
      <c r="AG496" s="389"/>
    </row>
    <row r="497" spans="1:33" s="404" customFormat="1" ht="12.75" customHeight="1">
      <c r="A497" s="444" t="s">
        <v>387</v>
      </c>
      <c r="B497" s="443" t="s">
        <v>419</v>
      </c>
      <c r="C497" s="443"/>
      <c r="D497" s="444">
        <v>220279</v>
      </c>
      <c r="E497" s="485">
        <v>13</v>
      </c>
      <c r="F497" s="376">
        <f t="shared" si="31"/>
        <v>383343</v>
      </c>
      <c r="G497" s="377">
        <f t="shared" si="32"/>
        <v>0</v>
      </c>
      <c r="H497" s="388">
        <v>383343</v>
      </c>
      <c r="I497" s="389"/>
      <c r="J497" s="388"/>
      <c r="K497" s="390"/>
      <c r="L497" s="381"/>
      <c r="M497" s="388"/>
      <c r="N497" s="388"/>
      <c r="O497" s="389"/>
      <c r="P497" s="389"/>
      <c r="Q497" s="390"/>
      <c r="R497" s="381"/>
      <c r="S497" s="390"/>
      <c r="T497" s="383">
        <f t="shared" si="33"/>
        <v>0</v>
      </c>
      <c r="U497" s="384">
        <f t="shared" si="34"/>
        <v>0</v>
      </c>
      <c r="V497" s="388"/>
      <c r="W497" s="389"/>
      <c r="X497" s="391"/>
      <c r="Y497" s="390"/>
      <c r="Z497" s="381"/>
      <c r="AA497" s="388"/>
      <c r="AB497" s="388"/>
      <c r="AC497" s="389"/>
      <c r="AD497" s="389"/>
      <c r="AE497" s="392"/>
      <c r="AF497" s="381"/>
      <c r="AG497" s="389"/>
    </row>
    <row r="498" spans="1:33" s="404" customFormat="1" ht="12.75" customHeight="1">
      <c r="A498" s="444" t="s">
        <v>387</v>
      </c>
      <c r="B498" s="443" t="s">
        <v>420</v>
      </c>
      <c r="C498" s="443"/>
      <c r="D498" s="444">
        <v>220321</v>
      </c>
      <c r="E498" s="485">
        <v>13</v>
      </c>
      <c r="F498" s="376">
        <f t="shared" si="31"/>
        <v>442185</v>
      </c>
      <c r="G498" s="377">
        <f t="shared" si="32"/>
        <v>0</v>
      </c>
      <c r="H498" s="388">
        <v>442185</v>
      </c>
      <c r="I498" s="389"/>
      <c r="J498" s="388"/>
      <c r="K498" s="390"/>
      <c r="L498" s="381"/>
      <c r="M498" s="388"/>
      <c r="N498" s="388"/>
      <c r="O498" s="389"/>
      <c r="P498" s="389"/>
      <c r="Q498" s="390"/>
      <c r="R498" s="381"/>
      <c r="S498" s="390"/>
      <c r="T498" s="383">
        <f t="shared" si="33"/>
        <v>0</v>
      </c>
      <c r="U498" s="384">
        <f t="shared" si="34"/>
        <v>0</v>
      </c>
      <c r="V498" s="388"/>
      <c r="W498" s="389"/>
      <c r="X498" s="391"/>
      <c r="Y498" s="390"/>
      <c r="Z498" s="381"/>
      <c r="AA498" s="388"/>
      <c r="AB498" s="388"/>
      <c r="AC498" s="389"/>
      <c r="AD498" s="389"/>
      <c r="AE498" s="392"/>
      <c r="AF498" s="381"/>
      <c r="AG498" s="389"/>
    </row>
    <row r="499" spans="1:33" s="404" customFormat="1" ht="12.75" customHeight="1">
      <c r="A499" s="444" t="s">
        <v>387</v>
      </c>
      <c r="B499" s="443" t="s">
        <v>421</v>
      </c>
      <c r="C499" s="443"/>
      <c r="D499" s="444">
        <v>220394</v>
      </c>
      <c r="E499" s="485">
        <v>13</v>
      </c>
      <c r="F499" s="376">
        <f t="shared" si="31"/>
        <v>203208</v>
      </c>
      <c r="G499" s="377">
        <f t="shared" si="32"/>
        <v>0</v>
      </c>
      <c r="H499" s="388">
        <v>203208</v>
      </c>
      <c r="I499" s="389"/>
      <c r="J499" s="388"/>
      <c r="K499" s="390"/>
      <c r="L499" s="381"/>
      <c r="M499" s="388"/>
      <c r="N499" s="388"/>
      <c r="O499" s="389"/>
      <c r="P499" s="389"/>
      <c r="Q499" s="390"/>
      <c r="R499" s="381"/>
      <c r="S499" s="390"/>
      <c r="T499" s="383">
        <f t="shared" si="33"/>
        <v>0</v>
      </c>
      <c r="U499" s="384">
        <f t="shared" si="34"/>
        <v>0</v>
      </c>
      <c r="V499" s="388"/>
      <c r="W499" s="389"/>
      <c r="X499" s="391"/>
      <c r="Y499" s="390"/>
      <c r="Z499" s="381"/>
      <c r="AA499" s="388"/>
      <c r="AB499" s="388"/>
      <c r="AC499" s="389"/>
      <c r="AD499" s="389"/>
      <c r="AE499" s="392"/>
      <c r="AF499" s="381"/>
      <c r="AG499" s="389"/>
    </row>
    <row r="500" spans="1:33" s="404" customFormat="1" ht="12.75" customHeight="1">
      <c r="A500" s="444" t="s">
        <v>387</v>
      </c>
      <c r="B500" s="443" t="s">
        <v>422</v>
      </c>
      <c r="C500" s="443"/>
      <c r="D500" s="444">
        <v>221616</v>
      </c>
      <c r="E500" s="485">
        <v>13</v>
      </c>
      <c r="F500" s="376">
        <f t="shared" si="31"/>
        <v>617038</v>
      </c>
      <c r="G500" s="377">
        <f t="shared" si="32"/>
        <v>0</v>
      </c>
      <c r="H500" s="388">
        <v>617038</v>
      </c>
      <c r="I500" s="389"/>
      <c r="J500" s="388"/>
      <c r="K500" s="390"/>
      <c r="L500" s="381"/>
      <c r="M500" s="388"/>
      <c r="N500" s="388"/>
      <c r="O500" s="389"/>
      <c r="P500" s="389"/>
      <c r="Q500" s="390"/>
      <c r="R500" s="381"/>
      <c r="S500" s="390"/>
      <c r="T500" s="383">
        <f t="shared" si="33"/>
        <v>0</v>
      </c>
      <c r="U500" s="384">
        <f t="shared" si="34"/>
        <v>0</v>
      </c>
      <c r="V500" s="388"/>
      <c r="W500" s="389"/>
      <c r="X500" s="391"/>
      <c r="Y500" s="390"/>
      <c r="Z500" s="381"/>
      <c r="AA500" s="388"/>
      <c r="AB500" s="388"/>
      <c r="AC500" s="389"/>
      <c r="AD500" s="389"/>
      <c r="AE500" s="392"/>
      <c r="AF500" s="381"/>
      <c r="AG500" s="389"/>
    </row>
    <row r="501" spans="1:33" s="404" customFormat="1" ht="12.75" customHeight="1">
      <c r="A501" s="444" t="s">
        <v>387</v>
      </c>
      <c r="B501" s="443" t="s">
        <v>423</v>
      </c>
      <c r="C501" s="443"/>
      <c r="D501" s="444">
        <v>221625</v>
      </c>
      <c r="E501" s="485">
        <v>13</v>
      </c>
      <c r="F501" s="376">
        <f t="shared" si="31"/>
        <v>689994</v>
      </c>
      <c r="G501" s="377">
        <f t="shared" si="32"/>
        <v>0</v>
      </c>
      <c r="H501" s="388">
        <v>689994</v>
      </c>
      <c r="I501" s="389"/>
      <c r="J501" s="388"/>
      <c r="K501" s="390"/>
      <c r="L501" s="381"/>
      <c r="M501" s="388"/>
      <c r="N501" s="388"/>
      <c r="O501" s="389"/>
      <c r="P501" s="389"/>
      <c r="Q501" s="390"/>
      <c r="R501" s="381"/>
      <c r="S501" s="390"/>
      <c r="T501" s="383">
        <f t="shared" si="33"/>
        <v>0</v>
      </c>
      <c r="U501" s="384">
        <f t="shared" si="34"/>
        <v>0</v>
      </c>
      <c r="V501" s="388"/>
      <c r="W501" s="389"/>
      <c r="X501" s="391"/>
      <c r="Y501" s="390"/>
      <c r="Z501" s="381"/>
      <c r="AA501" s="388"/>
      <c r="AB501" s="388"/>
      <c r="AC501" s="389"/>
      <c r="AD501" s="389"/>
      <c r="AE501" s="392"/>
      <c r="AF501" s="381"/>
      <c r="AG501" s="389"/>
    </row>
    <row r="502" spans="1:33" s="404" customFormat="1" ht="12.75" customHeight="1">
      <c r="A502" s="444" t="s">
        <v>387</v>
      </c>
      <c r="B502" s="443" t="s">
        <v>424</v>
      </c>
      <c r="C502" s="443"/>
      <c r="D502" s="444">
        <v>220640</v>
      </c>
      <c r="E502" s="485">
        <v>13</v>
      </c>
      <c r="F502" s="376">
        <f t="shared" si="31"/>
        <v>432806</v>
      </c>
      <c r="G502" s="377">
        <f t="shared" si="32"/>
        <v>0</v>
      </c>
      <c r="H502" s="388">
        <v>432806</v>
      </c>
      <c r="I502" s="389"/>
      <c r="J502" s="388"/>
      <c r="K502" s="390"/>
      <c r="L502" s="381"/>
      <c r="M502" s="388"/>
      <c r="N502" s="388"/>
      <c r="O502" s="389"/>
      <c r="P502" s="389"/>
      <c r="Q502" s="390"/>
      <c r="R502" s="381"/>
      <c r="S502" s="390"/>
      <c r="T502" s="383">
        <f t="shared" si="33"/>
        <v>0</v>
      </c>
      <c r="U502" s="384">
        <f t="shared" si="34"/>
        <v>0</v>
      </c>
      <c r="V502" s="388"/>
      <c r="W502" s="389"/>
      <c r="X502" s="391"/>
      <c r="Y502" s="390"/>
      <c r="Z502" s="381"/>
      <c r="AA502" s="388"/>
      <c r="AB502" s="388"/>
      <c r="AC502" s="389"/>
      <c r="AD502" s="389"/>
      <c r="AE502" s="392"/>
      <c r="AF502" s="381"/>
      <c r="AG502" s="389"/>
    </row>
    <row r="503" spans="1:33" s="404" customFormat="1" ht="12.75" customHeight="1">
      <c r="A503" s="444" t="s">
        <v>387</v>
      </c>
      <c r="B503" s="443" t="s">
        <v>425</v>
      </c>
      <c r="C503" s="443"/>
      <c r="D503" s="444">
        <v>220756</v>
      </c>
      <c r="E503" s="485">
        <v>13</v>
      </c>
      <c r="F503" s="376">
        <f t="shared" si="31"/>
        <v>300489</v>
      </c>
      <c r="G503" s="377">
        <f t="shared" si="32"/>
        <v>0</v>
      </c>
      <c r="H503" s="388">
        <v>300489</v>
      </c>
      <c r="I503" s="389"/>
      <c r="J503" s="388"/>
      <c r="K503" s="390"/>
      <c r="L503" s="381"/>
      <c r="M503" s="388"/>
      <c r="N503" s="388"/>
      <c r="O503" s="389"/>
      <c r="P503" s="389"/>
      <c r="Q503" s="390"/>
      <c r="R503" s="381"/>
      <c r="S503" s="390"/>
      <c r="T503" s="383">
        <f t="shared" si="33"/>
        <v>0</v>
      </c>
      <c r="U503" s="384">
        <f t="shared" si="34"/>
        <v>0</v>
      </c>
      <c r="V503" s="388"/>
      <c r="W503" s="389"/>
      <c r="X503" s="391"/>
      <c r="Y503" s="390"/>
      <c r="Z503" s="381"/>
      <c r="AA503" s="388"/>
      <c r="AB503" s="388"/>
      <c r="AC503" s="389"/>
      <c r="AD503" s="389"/>
      <c r="AE503" s="392"/>
      <c r="AF503" s="381"/>
      <c r="AG503" s="389"/>
    </row>
    <row r="504" spans="1:33" s="404" customFormat="1" ht="12.75" customHeight="1">
      <c r="A504" s="444" t="s">
        <v>387</v>
      </c>
      <c r="B504" s="443" t="s">
        <v>426</v>
      </c>
      <c r="C504" s="443"/>
      <c r="D504" s="444">
        <v>221607</v>
      </c>
      <c r="E504" s="485">
        <v>13</v>
      </c>
      <c r="F504" s="376">
        <f t="shared" si="31"/>
        <v>303262</v>
      </c>
      <c r="G504" s="377">
        <f t="shared" si="32"/>
        <v>0</v>
      </c>
      <c r="H504" s="388">
        <v>303262</v>
      </c>
      <c r="I504" s="389"/>
      <c r="J504" s="388"/>
      <c r="K504" s="390"/>
      <c r="L504" s="381"/>
      <c r="M504" s="388"/>
      <c r="N504" s="388"/>
      <c r="O504" s="389"/>
      <c r="P504" s="389"/>
      <c r="Q504" s="390"/>
      <c r="R504" s="381"/>
      <c r="S504" s="390"/>
      <c r="T504" s="383">
        <f t="shared" si="33"/>
        <v>0</v>
      </c>
      <c r="U504" s="384">
        <f t="shared" si="34"/>
        <v>0</v>
      </c>
      <c r="V504" s="388"/>
      <c r="W504" s="389"/>
      <c r="X504" s="391"/>
      <c r="Y504" s="390"/>
      <c r="Z504" s="381"/>
      <c r="AA504" s="388"/>
      <c r="AB504" s="388"/>
      <c r="AC504" s="389"/>
      <c r="AD504" s="389"/>
      <c r="AE504" s="392"/>
      <c r="AF504" s="381"/>
      <c r="AG504" s="389"/>
    </row>
    <row r="505" spans="1:33" s="404" customFormat="1" ht="12.75" customHeight="1">
      <c r="A505" s="444" t="s">
        <v>387</v>
      </c>
      <c r="B505" s="443" t="s">
        <v>427</v>
      </c>
      <c r="C505" s="443"/>
      <c r="D505" s="444">
        <v>220853</v>
      </c>
      <c r="E505" s="485">
        <v>13</v>
      </c>
      <c r="F505" s="376">
        <f t="shared" si="31"/>
        <v>735462</v>
      </c>
      <c r="G505" s="377">
        <f t="shared" si="32"/>
        <v>0</v>
      </c>
      <c r="H505" s="388">
        <v>735462</v>
      </c>
      <c r="I505" s="389"/>
      <c r="J505" s="388"/>
      <c r="K505" s="390"/>
      <c r="L505" s="381"/>
      <c r="M505" s="388"/>
      <c r="N505" s="388"/>
      <c r="O505" s="389"/>
      <c r="P505" s="389"/>
      <c r="Q505" s="390"/>
      <c r="R505" s="381"/>
      <c r="S505" s="390"/>
      <c r="T505" s="383">
        <f t="shared" si="33"/>
        <v>0</v>
      </c>
      <c r="U505" s="384">
        <f t="shared" si="34"/>
        <v>0</v>
      </c>
      <c r="V505" s="388"/>
      <c r="W505" s="389"/>
      <c r="X505" s="391"/>
      <c r="Y505" s="390"/>
      <c r="Z505" s="381"/>
      <c r="AA505" s="388"/>
      <c r="AB505" s="388"/>
      <c r="AC505" s="389"/>
      <c r="AD505" s="389"/>
      <c r="AE505" s="392"/>
      <c r="AF505" s="381"/>
      <c r="AG505" s="389"/>
    </row>
    <row r="506" spans="1:33" s="404" customFormat="1" ht="12.75" customHeight="1">
      <c r="A506" s="444" t="s">
        <v>387</v>
      </c>
      <c r="B506" s="443" t="s">
        <v>428</v>
      </c>
      <c r="C506" s="443"/>
      <c r="D506" s="444">
        <v>221050</v>
      </c>
      <c r="E506" s="485">
        <v>13</v>
      </c>
      <c r="F506" s="376">
        <f t="shared" si="31"/>
        <v>634754</v>
      </c>
      <c r="G506" s="377">
        <f t="shared" si="32"/>
        <v>0</v>
      </c>
      <c r="H506" s="388">
        <v>634754</v>
      </c>
      <c r="I506" s="389"/>
      <c r="J506" s="388"/>
      <c r="K506" s="390"/>
      <c r="L506" s="381"/>
      <c r="M506" s="388"/>
      <c r="N506" s="388"/>
      <c r="O506" s="389"/>
      <c r="P506" s="389"/>
      <c r="Q506" s="390"/>
      <c r="R506" s="381"/>
      <c r="S506" s="390"/>
      <c r="T506" s="383">
        <f t="shared" si="33"/>
        <v>0</v>
      </c>
      <c r="U506" s="384">
        <f t="shared" si="34"/>
        <v>0</v>
      </c>
      <c r="V506" s="388"/>
      <c r="W506" s="389"/>
      <c r="X506" s="391"/>
      <c r="Y506" s="390"/>
      <c r="Z506" s="381"/>
      <c r="AA506" s="388"/>
      <c r="AB506" s="388"/>
      <c r="AC506" s="389"/>
      <c r="AD506" s="389"/>
      <c r="AE506" s="392"/>
      <c r="AF506" s="381"/>
      <c r="AG506" s="389"/>
    </row>
    <row r="507" spans="1:33" s="404" customFormat="1" ht="12.75" customHeight="1">
      <c r="A507" s="444" t="s">
        <v>387</v>
      </c>
      <c r="B507" s="443" t="s">
        <v>429</v>
      </c>
      <c r="C507" s="443"/>
      <c r="D507" s="444">
        <v>221102</v>
      </c>
      <c r="E507" s="485">
        <v>13</v>
      </c>
      <c r="F507" s="376">
        <f t="shared" si="31"/>
        <v>433419</v>
      </c>
      <c r="G507" s="377">
        <f t="shared" si="32"/>
        <v>0</v>
      </c>
      <c r="H507" s="388">
        <v>433419</v>
      </c>
      <c r="I507" s="389"/>
      <c r="J507" s="388"/>
      <c r="K507" s="390"/>
      <c r="L507" s="381"/>
      <c r="M507" s="388"/>
      <c r="N507" s="388"/>
      <c r="O507" s="389"/>
      <c r="P507" s="389"/>
      <c r="Q507" s="390"/>
      <c r="R507" s="381"/>
      <c r="S507" s="390"/>
      <c r="T507" s="383">
        <f t="shared" si="33"/>
        <v>0</v>
      </c>
      <c r="U507" s="384">
        <f t="shared" si="34"/>
        <v>0</v>
      </c>
      <c r="V507" s="388"/>
      <c r="W507" s="389"/>
      <c r="X507" s="391"/>
      <c r="Y507" s="390"/>
      <c r="Z507" s="381"/>
      <c r="AA507" s="388"/>
      <c r="AB507" s="388"/>
      <c r="AC507" s="389"/>
      <c r="AD507" s="389"/>
      <c r="AE507" s="392"/>
      <c r="AF507" s="381"/>
      <c r="AG507" s="389"/>
    </row>
    <row r="508" spans="1:33" s="404" customFormat="1" ht="12.75" customHeight="1">
      <c r="A508" s="444" t="s">
        <v>387</v>
      </c>
      <c r="B508" s="443" t="s">
        <v>430</v>
      </c>
      <c r="C508" s="443"/>
      <c r="D508" s="444">
        <v>248925</v>
      </c>
      <c r="E508" s="485">
        <v>13</v>
      </c>
      <c r="F508" s="376">
        <f t="shared" si="31"/>
        <v>660841</v>
      </c>
      <c r="G508" s="377">
        <f t="shared" si="32"/>
        <v>0</v>
      </c>
      <c r="H508" s="388">
        <v>660841</v>
      </c>
      <c r="I508" s="389"/>
      <c r="J508" s="388"/>
      <c r="K508" s="390"/>
      <c r="L508" s="381"/>
      <c r="M508" s="388"/>
      <c r="N508" s="388"/>
      <c r="O508" s="389"/>
      <c r="P508" s="389"/>
      <c r="Q508" s="390"/>
      <c r="R508" s="381"/>
      <c r="S508" s="390"/>
      <c r="T508" s="383">
        <f t="shared" si="33"/>
        <v>0</v>
      </c>
      <c r="U508" s="384">
        <f t="shared" si="34"/>
        <v>0</v>
      </c>
      <c r="V508" s="388"/>
      <c r="W508" s="389"/>
      <c r="X508" s="391"/>
      <c r="Y508" s="390"/>
      <c r="Z508" s="381"/>
      <c r="AA508" s="388"/>
      <c r="AB508" s="388"/>
      <c r="AC508" s="389"/>
      <c r="AD508" s="389"/>
      <c r="AE508" s="392"/>
      <c r="AF508" s="381"/>
      <c r="AG508" s="389"/>
    </row>
    <row r="509" spans="1:33" s="404" customFormat="1" ht="12.75" customHeight="1">
      <c r="A509" s="444" t="s">
        <v>387</v>
      </c>
      <c r="B509" s="443" t="s">
        <v>431</v>
      </c>
      <c r="C509" s="443"/>
      <c r="D509" s="444">
        <v>221236</v>
      </c>
      <c r="E509" s="485">
        <v>13</v>
      </c>
      <c r="F509" s="376">
        <f t="shared" si="31"/>
        <v>275708</v>
      </c>
      <c r="G509" s="377">
        <f t="shared" si="32"/>
        <v>0</v>
      </c>
      <c r="H509" s="388">
        <v>275708</v>
      </c>
      <c r="I509" s="389"/>
      <c r="J509" s="388"/>
      <c r="K509" s="390"/>
      <c r="L509" s="381"/>
      <c r="M509" s="388"/>
      <c r="N509" s="388"/>
      <c r="O509" s="389"/>
      <c r="P509" s="389"/>
      <c r="Q509" s="390"/>
      <c r="R509" s="381"/>
      <c r="S509" s="390"/>
      <c r="T509" s="383">
        <f t="shared" si="33"/>
        <v>0</v>
      </c>
      <c r="U509" s="384">
        <f t="shared" si="34"/>
        <v>0</v>
      </c>
      <c r="V509" s="388"/>
      <c r="W509" s="389"/>
      <c r="X509" s="391"/>
      <c r="Y509" s="390"/>
      <c r="Z509" s="381"/>
      <c r="AA509" s="388"/>
      <c r="AB509" s="388"/>
      <c r="AC509" s="389"/>
      <c r="AD509" s="389"/>
      <c r="AE509" s="392"/>
      <c r="AF509" s="381"/>
      <c r="AG509" s="389"/>
    </row>
    <row r="510" spans="1:33" s="404" customFormat="1" ht="12.75" customHeight="1">
      <c r="A510" s="444" t="s">
        <v>387</v>
      </c>
      <c r="B510" s="443" t="s">
        <v>432</v>
      </c>
      <c r="C510" s="443"/>
      <c r="D510" s="444">
        <v>221582</v>
      </c>
      <c r="E510" s="485">
        <v>13</v>
      </c>
      <c r="F510" s="376">
        <f t="shared" si="31"/>
        <v>300534</v>
      </c>
      <c r="G510" s="377">
        <f t="shared" si="32"/>
        <v>0</v>
      </c>
      <c r="H510" s="388">
        <v>300534</v>
      </c>
      <c r="I510" s="389"/>
      <c r="J510" s="388"/>
      <c r="K510" s="390"/>
      <c r="L510" s="381"/>
      <c r="M510" s="388"/>
      <c r="N510" s="388"/>
      <c r="O510" s="389"/>
      <c r="P510" s="389"/>
      <c r="Q510" s="390"/>
      <c r="R510" s="381"/>
      <c r="S510" s="390"/>
      <c r="T510" s="383">
        <f t="shared" si="33"/>
        <v>0</v>
      </c>
      <c r="U510" s="384">
        <f t="shared" si="34"/>
        <v>0</v>
      </c>
      <c r="V510" s="388"/>
      <c r="W510" s="389"/>
      <c r="X510" s="391"/>
      <c r="Y510" s="390"/>
      <c r="Z510" s="381"/>
      <c r="AA510" s="388"/>
      <c r="AB510" s="388"/>
      <c r="AC510" s="389"/>
      <c r="AD510" s="389"/>
      <c r="AE510" s="392"/>
      <c r="AF510" s="381"/>
      <c r="AG510" s="389"/>
    </row>
    <row r="511" spans="1:33" s="404" customFormat="1" ht="12.75" customHeight="1">
      <c r="A511" s="444" t="s">
        <v>387</v>
      </c>
      <c r="B511" s="443" t="s">
        <v>433</v>
      </c>
      <c r="C511" s="443"/>
      <c r="D511" s="444">
        <v>221281</v>
      </c>
      <c r="E511" s="485">
        <v>13</v>
      </c>
      <c r="F511" s="376">
        <f t="shared" si="31"/>
        <v>345687</v>
      </c>
      <c r="G511" s="377">
        <f t="shared" si="32"/>
        <v>0</v>
      </c>
      <c r="H511" s="388">
        <v>345687</v>
      </c>
      <c r="I511" s="389"/>
      <c r="J511" s="388"/>
      <c r="K511" s="390"/>
      <c r="L511" s="381"/>
      <c r="M511" s="388"/>
      <c r="N511" s="388"/>
      <c r="O511" s="389"/>
      <c r="P511" s="389"/>
      <c r="Q511" s="390"/>
      <c r="R511" s="381"/>
      <c r="S511" s="390"/>
      <c r="T511" s="383">
        <f t="shared" si="33"/>
        <v>0</v>
      </c>
      <c r="U511" s="384">
        <f t="shared" si="34"/>
        <v>0</v>
      </c>
      <c r="V511" s="388"/>
      <c r="W511" s="389"/>
      <c r="X511" s="391"/>
      <c r="Y511" s="390"/>
      <c r="Z511" s="381"/>
      <c r="AA511" s="388"/>
      <c r="AB511" s="388"/>
      <c r="AC511" s="389"/>
      <c r="AD511" s="389"/>
      <c r="AE511" s="392"/>
      <c r="AF511" s="381"/>
      <c r="AG511" s="389"/>
    </row>
    <row r="512" spans="1:33" s="404" customFormat="1" ht="12.75" customHeight="1">
      <c r="A512" s="444" t="s">
        <v>387</v>
      </c>
      <c r="B512" s="443" t="s">
        <v>434</v>
      </c>
      <c r="C512" s="443"/>
      <c r="D512" s="444">
        <v>221333</v>
      </c>
      <c r="E512" s="485">
        <v>13</v>
      </c>
      <c r="F512" s="376">
        <f t="shared" si="31"/>
        <v>425190</v>
      </c>
      <c r="G512" s="377">
        <f t="shared" si="32"/>
        <v>0</v>
      </c>
      <c r="H512" s="388">
        <v>425190</v>
      </c>
      <c r="I512" s="389"/>
      <c r="J512" s="388"/>
      <c r="K512" s="390"/>
      <c r="L512" s="381"/>
      <c r="M512" s="388"/>
      <c r="N512" s="388"/>
      <c r="O512" s="389"/>
      <c r="P512" s="389"/>
      <c r="Q512" s="390"/>
      <c r="R512" s="381"/>
      <c r="S512" s="390"/>
      <c r="T512" s="383">
        <f t="shared" si="33"/>
        <v>0</v>
      </c>
      <c r="U512" s="384">
        <f t="shared" si="34"/>
        <v>0</v>
      </c>
      <c r="V512" s="388"/>
      <c r="W512" s="389"/>
      <c r="X512" s="391"/>
      <c r="Y512" s="390"/>
      <c r="Z512" s="381"/>
      <c r="AA512" s="388"/>
      <c r="AB512" s="388"/>
      <c r="AC512" s="389"/>
      <c r="AD512" s="389"/>
      <c r="AE512" s="392"/>
      <c r="AF512" s="381"/>
      <c r="AG512" s="389"/>
    </row>
    <row r="513" spans="1:33" s="404" customFormat="1" ht="12.75" customHeight="1">
      <c r="A513" s="444" t="s">
        <v>387</v>
      </c>
      <c r="B513" s="443" t="s">
        <v>435</v>
      </c>
      <c r="C513" s="443"/>
      <c r="D513" s="444">
        <v>221388</v>
      </c>
      <c r="E513" s="485">
        <v>13</v>
      </c>
      <c r="F513" s="376">
        <f t="shared" si="31"/>
        <v>204305</v>
      </c>
      <c r="G513" s="377">
        <f t="shared" si="32"/>
        <v>0</v>
      </c>
      <c r="H513" s="388">
        <v>204305</v>
      </c>
      <c r="I513" s="389"/>
      <c r="J513" s="388"/>
      <c r="K513" s="390"/>
      <c r="L513" s="381"/>
      <c r="M513" s="388"/>
      <c r="N513" s="388"/>
      <c r="O513" s="389"/>
      <c r="P513" s="389"/>
      <c r="Q513" s="390"/>
      <c r="R513" s="381"/>
      <c r="S513" s="390"/>
      <c r="T513" s="383">
        <f t="shared" si="33"/>
        <v>0</v>
      </c>
      <c r="U513" s="384">
        <f t="shared" si="34"/>
        <v>0</v>
      </c>
      <c r="V513" s="388"/>
      <c r="W513" s="389"/>
      <c r="X513" s="391"/>
      <c r="Y513" s="390"/>
      <c r="Z513" s="381"/>
      <c r="AA513" s="388"/>
      <c r="AB513" s="388"/>
      <c r="AC513" s="389"/>
      <c r="AD513" s="389"/>
      <c r="AE513" s="392"/>
      <c r="AF513" s="381"/>
      <c r="AG513" s="389"/>
    </row>
    <row r="514" spans="1:33" s="404" customFormat="1" ht="12.75" customHeight="1">
      <c r="A514" s="444" t="s">
        <v>387</v>
      </c>
      <c r="B514" s="443" t="s">
        <v>436</v>
      </c>
      <c r="C514" s="443"/>
      <c r="D514" s="444">
        <v>221494</v>
      </c>
      <c r="E514" s="485">
        <v>13</v>
      </c>
      <c r="F514" s="376">
        <f t="shared" si="31"/>
        <v>572290</v>
      </c>
      <c r="G514" s="377">
        <f t="shared" si="32"/>
        <v>0</v>
      </c>
      <c r="H514" s="388">
        <v>572290</v>
      </c>
      <c r="I514" s="389"/>
      <c r="J514" s="388"/>
      <c r="K514" s="390"/>
      <c r="L514" s="381"/>
      <c r="M514" s="388"/>
      <c r="N514" s="388"/>
      <c r="O514" s="389"/>
      <c r="P514" s="389"/>
      <c r="Q514" s="390"/>
      <c r="R514" s="381"/>
      <c r="S514" s="390"/>
      <c r="T514" s="383">
        <f t="shared" si="33"/>
        <v>0</v>
      </c>
      <c r="U514" s="384">
        <f t="shared" si="34"/>
        <v>0</v>
      </c>
      <c r="V514" s="388"/>
      <c r="W514" s="389"/>
      <c r="X514" s="391"/>
      <c r="Y514" s="390"/>
      <c r="Z514" s="381"/>
      <c r="AA514" s="388"/>
      <c r="AB514" s="388"/>
      <c r="AC514" s="389"/>
      <c r="AD514" s="389"/>
      <c r="AE514" s="392"/>
      <c r="AF514" s="381"/>
      <c r="AG514" s="389"/>
    </row>
    <row r="515" spans="1:33" s="404" customFormat="1" ht="12.75" customHeight="1">
      <c r="A515" s="444" t="s">
        <v>387</v>
      </c>
      <c r="B515" s="443" t="s">
        <v>437</v>
      </c>
      <c r="C515" s="443"/>
      <c r="D515" s="444">
        <v>221634</v>
      </c>
      <c r="E515" s="485">
        <v>13</v>
      </c>
      <c r="F515" s="376">
        <f t="shared" si="31"/>
        <v>190029</v>
      </c>
      <c r="G515" s="377">
        <f t="shared" si="32"/>
        <v>0</v>
      </c>
      <c r="H515" s="388">
        <v>190029</v>
      </c>
      <c r="I515" s="389"/>
      <c r="J515" s="388"/>
      <c r="K515" s="390"/>
      <c r="L515" s="381"/>
      <c r="M515" s="388"/>
      <c r="N515" s="388"/>
      <c r="O515" s="389"/>
      <c r="P515" s="389"/>
      <c r="Q515" s="390"/>
      <c r="R515" s="381"/>
      <c r="S515" s="390"/>
      <c r="T515" s="383">
        <f t="shared" si="33"/>
        <v>0</v>
      </c>
      <c r="U515" s="384">
        <f t="shared" si="34"/>
        <v>0</v>
      </c>
      <c r="V515" s="388"/>
      <c r="W515" s="389"/>
      <c r="X515" s="391"/>
      <c r="Y515" s="390"/>
      <c r="Z515" s="381"/>
      <c r="AA515" s="388"/>
      <c r="AB515" s="388"/>
      <c r="AC515" s="389"/>
      <c r="AD515" s="389"/>
      <c r="AE515" s="392"/>
      <c r="AF515" s="381"/>
      <c r="AG515" s="389"/>
    </row>
    <row r="516" spans="1:33">
      <c r="A516" s="454" t="s">
        <v>438</v>
      </c>
      <c r="B516" s="453" t="s">
        <v>439</v>
      </c>
      <c r="C516" s="453"/>
      <c r="D516" s="454">
        <v>228723</v>
      </c>
      <c r="E516" s="408">
        <v>1</v>
      </c>
      <c r="F516" s="376">
        <f t="shared" si="31"/>
        <v>1062336</v>
      </c>
      <c r="G516" s="377">
        <f t="shared" si="32"/>
        <v>1063598</v>
      </c>
      <c r="H516" s="388">
        <v>1025839</v>
      </c>
      <c r="I516" s="389">
        <v>1015216</v>
      </c>
      <c r="J516" s="388">
        <v>4612</v>
      </c>
      <c r="K516" s="390">
        <v>6032</v>
      </c>
      <c r="L516" s="381">
        <v>31510</v>
      </c>
      <c r="M516" s="388">
        <v>0</v>
      </c>
      <c r="N516" s="388">
        <v>375</v>
      </c>
      <c r="O516" s="389">
        <v>37071</v>
      </c>
      <c r="P516" s="389">
        <v>20</v>
      </c>
      <c r="Q516" s="390">
        <v>5259</v>
      </c>
      <c r="R516" s="381"/>
      <c r="S516" s="390"/>
      <c r="T516" s="383">
        <f t="shared" si="33"/>
        <v>173168</v>
      </c>
      <c r="U516" s="384">
        <f t="shared" si="34"/>
        <v>177489</v>
      </c>
      <c r="V516" s="388">
        <v>157828</v>
      </c>
      <c r="W516" s="389">
        <v>156968</v>
      </c>
      <c r="X516" s="391">
        <v>2739</v>
      </c>
      <c r="Y516" s="390">
        <v>2970</v>
      </c>
      <c r="Z516" s="381">
        <v>11692</v>
      </c>
      <c r="AA516" s="388">
        <v>525</v>
      </c>
      <c r="AB516" s="388">
        <v>384</v>
      </c>
      <c r="AC516" s="389">
        <v>12682</v>
      </c>
      <c r="AD516" s="389">
        <v>254</v>
      </c>
      <c r="AE516" s="392">
        <v>4615</v>
      </c>
      <c r="AF516" s="381"/>
      <c r="AG516" s="389"/>
    </row>
    <row r="517" spans="1:33">
      <c r="A517" s="454" t="s">
        <v>438</v>
      </c>
      <c r="B517" s="453" t="s">
        <v>440</v>
      </c>
      <c r="C517" s="453"/>
      <c r="D517" s="454">
        <v>229115</v>
      </c>
      <c r="E517" s="408">
        <v>1</v>
      </c>
      <c r="F517" s="376">
        <f t="shared" si="31"/>
        <v>648835</v>
      </c>
      <c r="G517" s="377">
        <f t="shared" si="32"/>
        <v>689132</v>
      </c>
      <c r="H517" s="388">
        <v>631272</v>
      </c>
      <c r="I517" s="389">
        <v>660748</v>
      </c>
      <c r="J517" s="388">
        <v>6079</v>
      </c>
      <c r="K517" s="390">
        <v>7960</v>
      </c>
      <c r="L517" s="381">
        <v>11484</v>
      </c>
      <c r="M517" s="388">
        <v>0</v>
      </c>
      <c r="N517" s="388">
        <v>0</v>
      </c>
      <c r="O517" s="389">
        <v>20409</v>
      </c>
      <c r="P517" s="389">
        <v>0</v>
      </c>
      <c r="Q517" s="390">
        <v>15</v>
      </c>
      <c r="R517" s="381"/>
      <c r="S517" s="390"/>
      <c r="T517" s="383">
        <f t="shared" si="33"/>
        <v>109769</v>
      </c>
      <c r="U517" s="384">
        <f t="shared" si="34"/>
        <v>118242</v>
      </c>
      <c r="V517" s="388">
        <v>98506</v>
      </c>
      <c r="W517" s="389">
        <v>100163</v>
      </c>
      <c r="X517" s="391">
        <v>2164</v>
      </c>
      <c r="Y517" s="390">
        <v>2011</v>
      </c>
      <c r="Z517" s="381">
        <v>9076</v>
      </c>
      <c r="AA517" s="388">
        <v>15</v>
      </c>
      <c r="AB517" s="388">
        <v>8</v>
      </c>
      <c r="AC517" s="389">
        <v>16033</v>
      </c>
      <c r="AD517" s="389">
        <v>0</v>
      </c>
      <c r="AE517" s="392">
        <v>35</v>
      </c>
      <c r="AF517" s="381"/>
      <c r="AG517" s="389"/>
    </row>
    <row r="518" spans="1:33">
      <c r="A518" s="454" t="s">
        <v>438</v>
      </c>
      <c r="B518" s="453" t="s">
        <v>441</v>
      </c>
      <c r="C518" s="453"/>
      <c r="D518" s="454">
        <v>225511</v>
      </c>
      <c r="E518" s="408">
        <v>1</v>
      </c>
      <c r="F518" s="376">
        <f t="shared" si="31"/>
        <v>707195</v>
      </c>
      <c r="G518" s="377">
        <f t="shared" si="32"/>
        <v>741538</v>
      </c>
      <c r="H518" s="388">
        <v>583885</v>
      </c>
      <c r="I518" s="389">
        <v>599157</v>
      </c>
      <c r="J518" s="388">
        <v>4505</v>
      </c>
      <c r="K518" s="390">
        <v>4531</v>
      </c>
      <c r="L518" s="381">
        <v>80300</v>
      </c>
      <c r="M518" s="388">
        <v>261</v>
      </c>
      <c r="N518" s="388">
        <v>38244</v>
      </c>
      <c r="O518" s="389">
        <v>116691</v>
      </c>
      <c r="P518" s="389">
        <v>162</v>
      </c>
      <c r="Q518" s="390">
        <v>20997</v>
      </c>
      <c r="R518" s="381"/>
      <c r="S518" s="390"/>
      <c r="T518" s="383">
        <f t="shared" si="33"/>
        <v>168234</v>
      </c>
      <c r="U518" s="384">
        <f t="shared" si="34"/>
        <v>179542</v>
      </c>
      <c r="V518" s="388">
        <v>159375</v>
      </c>
      <c r="W518" s="389">
        <v>167445</v>
      </c>
      <c r="X518" s="391">
        <v>1128</v>
      </c>
      <c r="Y518" s="390">
        <v>2727</v>
      </c>
      <c r="Z518" s="381">
        <v>6885</v>
      </c>
      <c r="AA518" s="388">
        <v>93</v>
      </c>
      <c r="AB518" s="388">
        <v>753</v>
      </c>
      <c r="AC518" s="389">
        <v>8511</v>
      </c>
      <c r="AD518" s="389">
        <v>69</v>
      </c>
      <c r="AE518" s="392">
        <v>790</v>
      </c>
      <c r="AF518" s="381"/>
      <c r="AG518" s="389"/>
    </row>
    <row r="519" spans="1:33">
      <c r="A519" s="454" t="s">
        <v>438</v>
      </c>
      <c r="B519" s="453" t="s">
        <v>442</v>
      </c>
      <c r="C519" s="453"/>
      <c r="D519" s="454">
        <v>227216</v>
      </c>
      <c r="E519" s="408">
        <v>1</v>
      </c>
      <c r="F519" s="376">
        <f t="shared" si="31"/>
        <v>736441</v>
      </c>
      <c r="G519" s="377">
        <f t="shared" si="32"/>
        <v>745337</v>
      </c>
      <c r="H519" s="388">
        <v>652966</v>
      </c>
      <c r="I519" s="389">
        <v>667691</v>
      </c>
      <c r="J519" s="388">
        <v>17454</v>
      </c>
      <c r="K519" s="390">
        <v>3640</v>
      </c>
      <c r="L519" s="381">
        <v>65749</v>
      </c>
      <c r="M519" s="388">
        <v>157</v>
      </c>
      <c r="N519" s="388">
        <v>115</v>
      </c>
      <c r="O519" s="389">
        <v>73940</v>
      </c>
      <c r="P519" s="389">
        <v>12</v>
      </c>
      <c r="Q519" s="390">
        <v>54</v>
      </c>
      <c r="R519" s="381"/>
      <c r="S519" s="390"/>
      <c r="T519" s="383">
        <f t="shared" si="33"/>
        <v>105965</v>
      </c>
      <c r="U519" s="384">
        <f t="shared" si="34"/>
        <v>111147</v>
      </c>
      <c r="V519" s="388">
        <v>67071</v>
      </c>
      <c r="W519" s="389">
        <v>73085</v>
      </c>
      <c r="X519" s="391">
        <v>6587</v>
      </c>
      <c r="Y519" s="390">
        <v>2617</v>
      </c>
      <c r="Z519" s="381">
        <v>31824</v>
      </c>
      <c r="AA519" s="388">
        <v>384</v>
      </c>
      <c r="AB519" s="388">
        <v>99</v>
      </c>
      <c r="AC519" s="389">
        <v>35250</v>
      </c>
      <c r="AD519" s="389">
        <v>168</v>
      </c>
      <c r="AE519" s="392">
        <v>27</v>
      </c>
      <c r="AF519" s="381"/>
      <c r="AG519" s="389"/>
    </row>
    <row r="520" spans="1:33">
      <c r="A520" s="454" t="s">
        <v>438</v>
      </c>
      <c r="B520" s="453" t="s">
        <v>443</v>
      </c>
      <c r="C520" s="453"/>
      <c r="D520" s="454">
        <v>228769</v>
      </c>
      <c r="E520" s="486">
        <v>1</v>
      </c>
      <c r="F520" s="376">
        <f t="shared" ref="F520:F583" si="35">SUM(H520,J520,L520,M520,N520,R520)</f>
        <v>492163</v>
      </c>
      <c r="G520" s="377">
        <f t="shared" ref="G520:G583" si="36">SUM(I520,K520,O520,P520,Q520,S520)</f>
        <v>576495</v>
      </c>
      <c r="H520" s="388">
        <v>454951</v>
      </c>
      <c r="I520" s="389">
        <v>484110</v>
      </c>
      <c r="J520" s="388">
        <v>3364</v>
      </c>
      <c r="K520" s="390">
        <v>2509</v>
      </c>
      <c r="L520" s="381">
        <v>29762</v>
      </c>
      <c r="M520" s="388">
        <v>192</v>
      </c>
      <c r="N520" s="388">
        <v>3894</v>
      </c>
      <c r="O520" s="389">
        <v>86162</v>
      </c>
      <c r="P520" s="389">
        <v>273</v>
      </c>
      <c r="Q520" s="390">
        <v>3441</v>
      </c>
      <c r="R520" s="381"/>
      <c r="S520" s="390"/>
      <c r="T520" s="383">
        <f t="shared" ref="T520:T583" si="37">SUM(V520,X520,Z520,AA520,AB520,AF520)</f>
        <v>101836</v>
      </c>
      <c r="U520" s="384">
        <f t="shared" ref="U520:U583" si="38">SUM(W520,Y520,AC520,AD520,AE520,AG520)</f>
        <v>123024</v>
      </c>
      <c r="V520" s="388">
        <v>80999</v>
      </c>
      <c r="W520" s="389">
        <v>85072</v>
      </c>
      <c r="X520" s="391">
        <v>10187</v>
      </c>
      <c r="Y520" s="390">
        <v>12060</v>
      </c>
      <c r="Z520" s="381">
        <v>9942</v>
      </c>
      <c r="AA520" s="388">
        <v>210</v>
      </c>
      <c r="AB520" s="388">
        <v>498</v>
      </c>
      <c r="AC520" s="389">
        <v>25089</v>
      </c>
      <c r="AD520" s="389">
        <v>108</v>
      </c>
      <c r="AE520" s="392">
        <v>695</v>
      </c>
      <c r="AF520" s="381"/>
      <c r="AG520" s="389"/>
    </row>
    <row r="521" spans="1:33">
      <c r="A521" s="454" t="s">
        <v>438</v>
      </c>
      <c r="B521" s="453" t="s">
        <v>444</v>
      </c>
      <c r="C521" s="453"/>
      <c r="D521" s="454">
        <v>228778</v>
      </c>
      <c r="E521" s="408">
        <v>1</v>
      </c>
      <c r="F521" s="376">
        <f t="shared" si="35"/>
        <v>1028906</v>
      </c>
      <c r="G521" s="377">
        <f t="shared" si="36"/>
        <v>1037705</v>
      </c>
      <c r="H521" s="388">
        <v>1024600</v>
      </c>
      <c r="I521" s="389">
        <v>1032585</v>
      </c>
      <c r="J521" s="388">
        <v>4306</v>
      </c>
      <c r="K521" s="390">
        <v>5120</v>
      </c>
      <c r="L521" s="381">
        <v>0</v>
      </c>
      <c r="M521" s="388">
        <v>0</v>
      </c>
      <c r="N521" s="388">
        <v>0</v>
      </c>
      <c r="O521" s="389">
        <v>0</v>
      </c>
      <c r="P521" s="389">
        <v>0</v>
      </c>
      <c r="Q521" s="390">
        <v>0</v>
      </c>
      <c r="R521" s="381"/>
      <c r="S521" s="390"/>
      <c r="T521" s="383">
        <f t="shared" si="37"/>
        <v>265480</v>
      </c>
      <c r="U521" s="384">
        <f t="shared" si="38"/>
        <v>268580</v>
      </c>
      <c r="V521" s="388">
        <v>264575</v>
      </c>
      <c r="W521" s="389">
        <v>268094</v>
      </c>
      <c r="X521" s="391">
        <v>905</v>
      </c>
      <c r="Y521" s="390">
        <v>486</v>
      </c>
      <c r="Z521" s="381">
        <v>0</v>
      </c>
      <c r="AA521" s="388">
        <v>0</v>
      </c>
      <c r="AB521" s="388">
        <v>0</v>
      </c>
      <c r="AC521" s="389">
        <v>0</v>
      </c>
      <c r="AD521" s="389">
        <v>0</v>
      </c>
      <c r="AE521" s="392">
        <v>0</v>
      </c>
      <c r="AF521" s="381"/>
      <c r="AG521" s="389"/>
    </row>
    <row r="522" spans="1:33">
      <c r="A522" s="454" t="s">
        <v>438</v>
      </c>
      <c r="B522" s="453" t="s">
        <v>445</v>
      </c>
      <c r="C522" s="453"/>
      <c r="D522" s="454">
        <v>228787</v>
      </c>
      <c r="E522" s="408">
        <v>1</v>
      </c>
      <c r="F522" s="376">
        <f t="shared" si="35"/>
        <v>252709</v>
      </c>
      <c r="G522" s="377">
        <f t="shared" si="36"/>
        <v>268230</v>
      </c>
      <c r="H522" s="388">
        <v>249794</v>
      </c>
      <c r="I522" s="389">
        <v>261382</v>
      </c>
      <c r="J522" s="388">
        <v>343</v>
      </c>
      <c r="K522" s="390">
        <v>1221</v>
      </c>
      <c r="L522" s="381">
        <v>2572</v>
      </c>
      <c r="M522" s="388">
        <v>0</v>
      </c>
      <c r="N522" s="388">
        <v>0</v>
      </c>
      <c r="O522" s="389">
        <v>5606</v>
      </c>
      <c r="P522" s="389">
        <v>21</v>
      </c>
      <c r="Q522" s="390">
        <v>0</v>
      </c>
      <c r="R522" s="381"/>
      <c r="S522" s="390"/>
      <c r="T522" s="383">
        <f t="shared" si="37"/>
        <v>99379</v>
      </c>
      <c r="U522" s="384">
        <f t="shared" si="38"/>
        <v>114444</v>
      </c>
      <c r="V522" s="388">
        <v>87327</v>
      </c>
      <c r="W522" s="389">
        <v>99432</v>
      </c>
      <c r="X522" s="391">
        <v>235</v>
      </c>
      <c r="Y522" s="390">
        <v>468</v>
      </c>
      <c r="Z522" s="381">
        <v>11814</v>
      </c>
      <c r="AA522" s="388">
        <v>0</v>
      </c>
      <c r="AB522" s="388">
        <v>3</v>
      </c>
      <c r="AC522" s="389">
        <v>14544</v>
      </c>
      <c r="AD522" s="389">
        <v>0</v>
      </c>
      <c r="AE522" s="392">
        <v>0</v>
      </c>
      <c r="AF522" s="381"/>
      <c r="AG522" s="389"/>
    </row>
    <row r="523" spans="1:33" ht="13.5">
      <c r="A523" s="454" t="s">
        <v>438</v>
      </c>
      <c r="B523" s="453" t="s">
        <v>446</v>
      </c>
      <c r="C523" s="577" t="s">
        <v>961</v>
      </c>
      <c r="D523" s="454">
        <v>229179</v>
      </c>
      <c r="E523" s="408">
        <v>2</v>
      </c>
      <c r="F523" s="376">
        <f t="shared" si="35"/>
        <v>196582</v>
      </c>
      <c r="G523" s="377">
        <f t="shared" si="36"/>
        <v>207868</v>
      </c>
      <c r="H523" s="388">
        <v>152257</v>
      </c>
      <c r="I523" s="389">
        <v>154155</v>
      </c>
      <c r="J523" s="388">
        <v>2717</v>
      </c>
      <c r="K523" s="390">
        <v>2978</v>
      </c>
      <c r="L523" s="381">
        <v>41608</v>
      </c>
      <c r="M523" s="388">
        <v>0</v>
      </c>
      <c r="N523" s="388">
        <v>0</v>
      </c>
      <c r="O523" s="389">
        <v>50615</v>
      </c>
      <c r="P523" s="389">
        <v>60</v>
      </c>
      <c r="Q523" s="390">
        <v>60</v>
      </c>
      <c r="R523" s="381"/>
      <c r="S523" s="390"/>
      <c r="T523" s="383">
        <f t="shared" si="37"/>
        <v>91903</v>
      </c>
      <c r="U523" s="384">
        <f t="shared" si="38"/>
        <v>99837</v>
      </c>
      <c r="V523" s="388">
        <v>47991</v>
      </c>
      <c r="W523" s="389">
        <v>48747</v>
      </c>
      <c r="X523" s="391">
        <v>1878</v>
      </c>
      <c r="Y523" s="390">
        <v>1944</v>
      </c>
      <c r="Z523" s="381">
        <v>41173</v>
      </c>
      <c r="AA523" s="388">
        <v>861</v>
      </c>
      <c r="AB523" s="388">
        <v>0</v>
      </c>
      <c r="AC523" s="389">
        <v>48680</v>
      </c>
      <c r="AD523" s="389">
        <v>466</v>
      </c>
      <c r="AE523" s="392">
        <v>0</v>
      </c>
      <c r="AF523" s="381"/>
      <c r="AG523" s="389"/>
    </row>
    <row r="524" spans="1:33">
      <c r="A524" s="454" t="s">
        <v>438</v>
      </c>
      <c r="B524" s="453" t="s">
        <v>447</v>
      </c>
      <c r="C524" s="453"/>
      <c r="D524" s="454">
        <v>228796</v>
      </c>
      <c r="E524" s="486">
        <v>2</v>
      </c>
      <c r="F524" s="376">
        <f t="shared" si="35"/>
        <v>414285</v>
      </c>
      <c r="G524" s="377">
        <f t="shared" si="36"/>
        <v>435923</v>
      </c>
      <c r="H524" s="388">
        <v>400523</v>
      </c>
      <c r="I524" s="389">
        <v>409500</v>
      </c>
      <c r="J524" s="388">
        <v>3406</v>
      </c>
      <c r="K524" s="390">
        <v>5130</v>
      </c>
      <c r="L524" s="381">
        <v>10356</v>
      </c>
      <c r="M524" s="388">
        <v>0</v>
      </c>
      <c r="N524" s="388">
        <v>0</v>
      </c>
      <c r="O524" s="389">
        <v>21293</v>
      </c>
      <c r="P524" s="389">
        <v>0</v>
      </c>
      <c r="Q524" s="390">
        <v>0</v>
      </c>
      <c r="R524" s="381"/>
      <c r="S524" s="390"/>
      <c r="T524" s="383">
        <f t="shared" si="37"/>
        <v>55891</v>
      </c>
      <c r="U524" s="384">
        <f t="shared" si="38"/>
        <v>60139</v>
      </c>
      <c r="V524" s="388">
        <v>43134</v>
      </c>
      <c r="W524" s="389">
        <v>45393</v>
      </c>
      <c r="X524" s="391">
        <v>3870</v>
      </c>
      <c r="Y524" s="390">
        <v>3106</v>
      </c>
      <c r="Z524" s="381">
        <v>8887</v>
      </c>
      <c r="AA524" s="388">
        <v>0</v>
      </c>
      <c r="AB524" s="388">
        <v>0</v>
      </c>
      <c r="AC524" s="389">
        <v>11640</v>
      </c>
      <c r="AD524" s="389">
        <v>0</v>
      </c>
      <c r="AE524" s="392">
        <v>0</v>
      </c>
      <c r="AF524" s="381"/>
      <c r="AG524" s="389"/>
    </row>
    <row r="525" spans="1:33">
      <c r="A525" s="454" t="s">
        <v>438</v>
      </c>
      <c r="B525" s="453" t="s">
        <v>448</v>
      </c>
      <c r="C525" s="453"/>
      <c r="D525" s="454">
        <v>229027</v>
      </c>
      <c r="E525" s="410">
        <v>2</v>
      </c>
      <c r="F525" s="376">
        <f t="shared" si="35"/>
        <v>610982</v>
      </c>
      <c r="G525" s="377">
        <f t="shared" si="36"/>
        <v>631779</v>
      </c>
      <c r="H525" s="388">
        <v>593018</v>
      </c>
      <c r="I525" s="389">
        <v>612260</v>
      </c>
      <c r="J525" s="388">
        <v>3014</v>
      </c>
      <c r="K525" s="390">
        <v>2580</v>
      </c>
      <c r="L525" s="381">
        <v>10822</v>
      </c>
      <c r="M525" s="388">
        <v>4128</v>
      </c>
      <c r="N525" s="388">
        <v>0</v>
      </c>
      <c r="O525" s="389">
        <v>11230</v>
      </c>
      <c r="P525" s="389">
        <v>5709</v>
      </c>
      <c r="Q525" s="390">
        <v>0</v>
      </c>
      <c r="R525" s="381"/>
      <c r="S525" s="390"/>
      <c r="T525" s="383">
        <f t="shared" si="37"/>
        <v>54987</v>
      </c>
      <c r="U525" s="384">
        <f t="shared" si="38"/>
        <v>63158</v>
      </c>
      <c r="V525" s="388">
        <v>53316</v>
      </c>
      <c r="W525" s="389">
        <v>61073</v>
      </c>
      <c r="X525" s="391">
        <v>741</v>
      </c>
      <c r="Y525" s="390">
        <v>720</v>
      </c>
      <c r="Z525" s="381">
        <v>837</v>
      </c>
      <c r="AA525" s="388">
        <v>93</v>
      </c>
      <c r="AB525" s="388">
        <v>0</v>
      </c>
      <c r="AC525" s="389">
        <v>1212</v>
      </c>
      <c r="AD525" s="389">
        <v>153</v>
      </c>
      <c r="AE525" s="392">
        <v>0</v>
      </c>
      <c r="AF525" s="381"/>
      <c r="AG525" s="389"/>
    </row>
    <row r="526" spans="1:33">
      <c r="A526" s="454" t="s">
        <v>438</v>
      </c>
      <c r="B526" s="453" t="s">
        <v>449</v>
      </c>
      <c r="C526" s="453"/>
      <c r="D526" s="454">
        <v>222831</v>
      </c>
      <c r="E526" s="408">
        <v>3</v>
      </c>
      <c r="F526" s="376">
        <f t="shared" si="35"/>
        <v>145855</v>
      </c>
      <c r="G526" s="377">
        <f t="shared" si="36"/>
        <v>150284</v>
      </c>
      <c r="H526" s="388">
        <v>140247</v>
      </c>
      <c r="I526" s="389">
        <v>139059</v>
      </c>
      <c r="J526" s="388">
        <v>0</v>
      </c>
      <c r="K526" s="390">
        <v>0</v>
      </c>
      <c r="L526" s="381">
        <v>5557</v>
      </c>
      <c r="M526" s="388">
        <v>51</v>
      </c>
      <c r="N526" s="388">
        <v>0</v>
      </c>
      <c r="O526" s="389">
        <v>11225</v>
      </c>
      <c r="P526" s="389">
        <v>0</v>
      </c>
      <c r="Q526" s="390">
        <v>0</v>
      </c>
      <c r="R526" s="381"/>
      <c r="S526" s="390"/>
      <c r="T526" s="383">
        <f t="shared" si="37"/>
        <v>9947</v>
      </c>
      <c r="U526" s="384">
        <f t="shared" si="38"/>
        <v>11853</v>
      </c>
      <c r="V526" s="388">
        <v>6697</v>
      </c>
      <c r="W526" s="389">
        <v>5210</v>
      </c>
      <c r="X526" s="391">
        <v>0</v>
      </c>
      <c r="Y526" s="390">
        <v>0</v>
      </c>
      <c r="Z526" s="381">
        <v>3250</v>
      </c>
      <c r="AA526" s="388">
        <v>0</v>
      </c>
      <c r="AB526" s="388">
        <v>0</v>
      </c>
      <c r="AC526" s="389">
        <v>6643</v>
      </c>
      <c r="AD526" s="389">
        <v>0</v>
      </c>
      <c r="AE526" s="392">
        <v>0</v>
      </c>
      <c r="AF526" s="381"/>
      <c r="AG526" s="389"/>
    </row>
    <row r="527" spans="1:33">
      <c r="A527" s="454" t="s">
        <v>438</v>
      </c>
      <c r="B527" s="453" t="s">
        <v>450</v>
      </c>
      <c r="C527" s="453"/>
      <c r="D527" s="454">
        <v>226091</v>
      </c>
      <c r="E527" s="408">
        <v>3</v>
      </c>
      <c r="F527" s="376">
        <f t="shared" si="35"/>
        <v>228464</v>
      </c>
      <c r="G527" s="377">
        <f t="shared" si="36"/>
        <v>232181</v>
      </c>
      <c r="H527" s="388">
        <v>199702</v>
      </c>
      <c r="I527" s="389">
        <v>197967</v>
      </c>
      <c r="J527" s="388">
        <v>4062</v>
      </c>
      <c r="K527" s="390">
        <v>4041</v>
      </c>
      <c r="L527" s="381">
        <v>22371</v>
      </c>
      <c r="M527" s="388">
        <v>2329</v>
      </c>
      <c r="N527" s="388">
        <v>0</v>
      </c>
      <c r="O527" s="389">
        <v>27213</v>
      </c>
      <c r="P527" s="389">
        <v>2669</v>
      </c>
      <c r="Q527" s="390">
        <v>291</v>
      </c>
      <c r="R527" s="381"/>
      <c r="S527" s="390"/>
      <c r="T527" s="383">
        <f t="shared" si="37"/>
        <v>102152</v>
      </c>
      <c r="U527" s="384">
        <f t="shared" si="38"/>
        <v>98151</v>
      </c>
      <c r="V527" s="388">
        <v>22121</v>
      </c>
      <c r="W527" s="389">
        <v>22898</v>
      </c>
      <c r="X527" s="391">
        <v>0</v>
      </c>
      <c r="Y527" s="390">
        <v>0</v>
      </c>
      <c r="Z527" s="381">
        <v>1482</v>
      </c>
      <c r="AA527" s="388">
        <v>0</v>
      </c>
      <c r="AB527" s="388">
        <v>78549</v>
      </c>
      <c r="AC527" s="389">
        <v>28495</v>
      </c>
      <c r="AD527" s="389">
        <v>330</v>
      </c>
      <c r="AE527" s="392">
        <v>46428</v>
      </c>
      <c r="AF527" s="381"/>
      <c r="AG527" s="389"/>
    </row>
    <row r="528" spans="1:33">
      <c r="A528" s="454" t="s">
        <v>438</v>
      </c>
      <c r="B528" s="453" t="s">
        <v>451</v>
      </c>
      <c r="C528" s="453"/>
      <c r="D528" s="454">
        <v>226833</v>
      </c>
      <c r="E528" s="408">
        <v>3</v>
      </c>
      <c r="F528" s="376">
        <f t="shared" si="35"/>
        <v>139047</v>
      </c>
      <c r="G528" s="377">
        <f t="shared" si="36"/>
        <v>141792</v>
      </c>
      <c r="H528" s="388">
        <v>121608</v>
      </c>
      <c r="I528" s="389">
        <v>123522</v>
      </c>
      <c r="J528" s="388">
        <v>2367</v>
      </c>
      <c r="K528" s="390">
        <v>2623</v>
      </c>
      <c r="L528" s="381">
        <v>15003</v>
      </c>
      <c r="M528" s="388">
        <v>0</v>
      </c>
      <c r="N528" s="388">
        <v>69</v>
      </c>
      <c r="O528" s="389">
        <v>15647</v>
      </c>
      <c r="P528" s="389">
        <v>0</v>
      </c>
      <c r="Q528" s="390">
        <v>0</v>
      </c>
      <c r="R528" s="381"/>
      <c r="S528" s="390"/>
      <c r="T528" s="383">
        <f t="shared" si="37"/>
        <v>8667</v>
      </c>
      <c r="U528" s="384">
        <f t="shared" si="38"/>
        <v>8356</v>
      </c>
      <c r="V528" s="388">
        <v>6319</v>
      </c>
      <c r="W528" s="389">
        <v>5894</v>
      </c>
      <c r="X528" s="391">
        <v>84</v>
      </c>
      <c r="Y528" s="390">
        <v>108</v>
      </c>
      <c r="Z528" s="381">
        <v>2111</v>
      </c>
      <c r="AA528" s="388">
        <v>153</v>
      </c>
      <c r="AB528" s="388">
        <v>0</v>
      </c>
      <c r="AC528" s="389">
        <v>2312</v>
      </c>
      <c r="AD528" s="389">
        <v>42</v>
      </c>
      <c r="AE528" s="392">
        <v>0</v>
      </c>
      <c r="AF528" s="381"/>
      <c r="AG528" s="389"/>
    </row>
    <row r="529" spans="1:33">
      <c r="A529" s="454" t="s">
        <v>438</v>
      </c>
      <c r="B529" s="453" t="s">
        <v>452</v>
      </c>
      <c r="C529" s="453"/>
      <c r="D529" s="454">
        <v>227526</v>
      </c>
      <c r="E529" s="408">
        <v>3</v>
      </c>
      <c r="F529" s="376">
        <f t="shared" si="35"/>
        <v>172879</v>
      </c>
      <c r="G529" s="377">
        <f t="shared" si="36"/>
        <v>182890</v>
      </c>
      <c r="H529" s="388">
        <v>162235</v>
      </c>
      <c r="I529" s="389">
        <v>176738</v>
      </c>
      <c r="J529" s="388">
        <v>9819</v>
      </c>
      <c r="K529" s="390">
        <v>5360</v>
      </c>
      <c r="L529" s="381">
        <v>825</v>
      </c>
      <c r="M529" s="388">
        <v>0</v>
      </c>
      <c r="N529" s="388">
        <v>0</v>
      </c>
      <c r="O529" s="389">
        <v>792</v>
      </c>
      <c r="P529" s="389">
        <v>0</v>
      </c>
      <c r="Q529" s="390">
        <v>0</v>
      </c>
      <c r="R529" s="381"/>
      <c r="S529" s="390"/>
      <c r="T529" s="383">
        <f t="shared" si="37"/>
        <v>33085</v>
      </c>
      <c r="U529" s="384">
        <f t="shared" si="38"/>
        <v>32482</v>
      </c>
      <c r="V529" s="388">
        <v>24973</v>
      </c>
      <c r="W529" s="389">
        <v>26648</v>
      </c>
      <c r="X529" s="391">
        <v>4437</v>
      </c>
      <c r="Y529" s="390">
        <v>2042</v>
      </c>
      <c r="Z529" s="381">
        <v>3675</v>
      </c>
      <c r="AA529" s="388">
        <v>0</v>
      </c>
      <c r="AB529" s="388">
        <v>0</v>
      </c>
      <c r="AC529" s="389">
        <v>3792</v>
      </c>
      <c r="AD529" s="389">
        <v>0</v>
      </c>
      <c r="AE529" s="392">
        <v>0</v>
      </c>
      <c r="AF529" s="381"/>
      <c r="AG529" s="389"/>
    </row>
    <row r="530" spans="1:33">
      <c r="A530" s="454" t="s">
        <v>438</v>
      </c>
      <c r="B530" s="453" t="s">
        <v>453</v>
      </c>
      <c r="C530" s="453"/>
      <c r="D530" s="454">
        <v>227881</v>
      </c>
      <c r="E530" s="408">
        <v>3</v>
      </c>
      <c r="F530" s="376">
        <f t="shared" si="35"/>
        <v>398693</v>
      </c>
      <c r="G530" s="377">
        <f t="shared" si="36"/>
        <v>401035</v>
      </c>
      <c r="H530" s="388">
        <v>373718</v>
      </c>
      <c r="I530" s="389">
        <v>365223</v>
      </c>
      <c r="J530" s="388">
        <v>19691</v>
      </c>
      <c r="K530" s="390">
        <v>20939</v>
      </c>
      <c r="L530" s="381">
        <v>5251</v>
      </c>
      <c r="M530" s="388">
        <v>33</v>
      </c>
      <c r="N530" s="388">
        <v>0</v>
      </c>
      <c r="O530" s="389">
        <v>14873</v>
      </c>
      <c r="P530" s="389">
        <v>0</v>
      </c>
      <c r="Q530" s="390">
        <v>0</v>
      </c>
      <c r="R530" s="381"/>
      <c r="S530" s="390"/>
      <c r="T530" s="383">
        <f t="shared" si="37"/>
        <v>35248</v>
      </c>
      <c r="U530" s="384">
        <f t="shared" si="38"/>
        <v>41725</v>
      </c>
      <c r="V530" s="388">
        <v>14051</v>
      </c>
      <c r="W530" s="389">
        <v>16059</v>
      </c>
      <c r="X530" s="391">
        <v>7169</v>
      </c>
      <c r="Y530" s="390">
        <v>7237</v>
      </c>
      <c r="Z530" s="381">
        <v>13584</v>
      </c>
      <c r="AA530" s="388">
        <v>444</v>
      </c>
      <c r="AB530" s="388">
        <v>0</v>
      </c>
      <c r="AC530" s="389">
        <v>18357</v>
      </c>
      <c r="AD530" s="389">
        <v>72</v>
      </c>
      <c r="AE530" s="392">
        <v>0</v>
      </c>
      <c r="AF530" s="381"/>
      <c r="AG530" s="389"/>
    </row>
    <row r="531" spans="1:33">
      <c r="A531" s="454" t="s">
        <v>438</v>
      </c>
      <c r="B531" s="453" t="s">
        <v>454</v>
      </c>
      <c r="C531" s="453"/>
      <c r="D531" s="454">
        <v>228431</v>
      </c>
      <c r="E531" s="408">
        <v>3</v>
      </c>
      <c r="F531" s="376">
        <f t="shared" si="35"/>
        <v>297592</v>
      </c>
      <c r="G531" s="377">
        <f t="shared" si="36"/>
        <v>304689</v>
      </c>
      <c r="H531" s="388">
        <v>262121</v>
      </c>
      <c r="I531" s="389">
        <v>265392</v>
      </c>
      <c r="J531" s="388">
        <v>7063</v>
      </c>
      <c r="K531" s="390">
        <v>3705</v>
      </c>
      <c r="L531" s="381">
        <v>28246</v>
      </c>
      <c r="M531" s="388">
        <v>162</v>
      </c>
      <c r="N531" s="388">
        <v>0</v>
      </c>
      <c r="O531" s="389">
        <v>32900</v>
      </c>
      <c r="P531" s="389">
        <v>249</v>
      </c>
      <c r="Q531" s="390">
        <v>2443</v>
      </c>
      <c r="R531" s="381"/>
      <c r="S531" s="390"/>
      <c r="T531" s="383">
        <f t="shared" si="37"/>
        <v>27857</v>
      </c>
      <c r="U531" s="384">
        <f t="shared" si="38"/>
        <v>27713</v>
      </c>
      <c r="V531" s="388">
        <v>15835</v>
      </c>
      <c r="W531" s="389">
        <v>16426</v>
      </c>
      <c r="X531" s="391">
        <v>1922</v>
      </c>
      <c r="Y531" s="390">
        <v>1248</v>
      </c>
      <c r="Z531" s="381">
        <v>9814</v>
      </c>
      <c r="AA531" s="388">
        <v>238</v>
      </c>
      <c r="AB531" s="388">
        <v>48</v>
      </c>
      <c r="AC531" s="389">
        <v>9395</v>
      </c>
      <c r="AD531" s="389">
        <v>217</v>
      </c>
      <c r="AE531" s="392">
        <v>427</v>
      </c>
      <c r="AF531" s="381"/>
      <c r="AG531" s="389"/>
    </row>
    <row r="532" spans="1:33">
      <c r="A532" s="454" t="s">
        <v>438</v>
      </c>
      <c r="B532" s="453" t="s">
        <v>455</v>
      </c>
      <c r="C532" s="453"/>
      <c r="D532" s="454">
        <v>228501</v>
      </c>
      <c r="E532" s="408">
        <v>3</v>
      </c>
      <c r="F532" s="376">
        <f t="shared" si="35"/>
        <v>35901</v>
      </c>
      <c r="G532" s="377">
        <f t="shared" si="36"/>
        <v>36926</v>
      </c>
      <c r="H532" s="388">
        <v>32095</v>
      </c>
      <c r="I532" s="389">
        <v>32570</v>
      </c>
      <c r="J532" s="388">
        <v>22</v>
      </c>
      <c r="K532" s="390">
        <v>53</v>
      </c>
      <c r="L532" s="381">
        <v>2827</v>
      </c>
      <c r="M532" s="388">
        <v>957</v>
      </c>
      <c r="N532" s="388">
        <v>0</v>
      </c>
      <c r="O532" s="389">
        <v>3438</v>
      </c>
      <c r="P532" s="389">
        <v>865</v>
      </c>
      <c r="Q532" s="390">
        <v>0</v>
      </c>
      <c r="R532" s="381"/>
      <c r="S532" s="390"/>
      <c r="T532" s="383">
        <f t="shared" si="37"/>
        <v>9411</v>
      </c>
      <c r="U532" s="384">
        <f t="shared" si="38"/>
        <v>9264</v>
      </c>
      <c r="V532" s="388">
        <v>4719</v>
      </c>
      <c r="W532" s="389">
        <v>3889</v>
      </c>
      <c r="X532" s="391">
        <v>561</v>
      </c>
      <c r="Y532" s="390">
        <v>572</v>
      </c>
      <c r="Z532" s="381">
        <v>3855</v>
      </c>
      <c r="AA532" s="388">
        <v>276</v>
      </c>
      <c r="AB532" s="388">
        <v>0</v>
      </c>
      <c r="AC532" s="389">
        <v>4155</v>
      </c>
      <c r="AD532" s="389">
        <v>648</v>
      </c>
      <c r="AE532" s="392">
        <v>0</v>
      </c>
      <c r="AF532" s="381"/>
      <c r="AG532" s="389"/>
    </row>
    <row r="533" spans="1:33">
      <c r="A533" s="454" t="s">
        <v>438</v>
      </c>
      <c r="B533" s="453" t="s">
        <v>456</v>
      </c>
      <c r="C533" s="453"/>
      <c r="D533" s="454">
        <v>228529</v>
      </c>
      <c r="E533" s="408">
        <v>3</v>
      </c>
      <c r="F533" s="376">
        <f t="shared" si="35"/>
        <v>202710</v>
      </c>
      <c r="G533" s="377">
        <f t="shared" si="36"/>
        <v>196208</v>
      </c>
      <c r="H533" s="388">
        <v>154056</v>
      </c>
      <c r="I533" s="389">
        <v>156242</v>
      </c>
      <c r="J533" s="388">
        <v>30273</v>
      </c>
      <c r="K533" s="390">
        <v>15185</v>
      </c>
      <c r="L533" s="381">
        <v>16209</v>
      </c>
      <c r="M533" s="388">
        <v>2172</v>
      </c>
      <c r="N533" s="388">
        <v>0</v>
      </c>
      <c r="O533" s="389">
        <v>24091</v>
      </c>
      <c r="P533" s="389">
        <v>690</v>
      </c>
      <c r="Q533" s="390">
        <v>0</v>
      </c>
      <c r="R533" s="381"/>
      <c r="S533" s="390"/>
      <c r="T533" s="383">
        <f t="shared" si="37"/>
        <v>28095</v>
      </c>
      <c r="U533" s="384">
        <f t="shared" si="38"/>
        <v>21239</v>
      </c>
      <c r="V533" s="388">
        <v>5572</v>
      </c>
      <c r="W533" s="389">
        <v>5253</v>
      </c>
      <c r="X533" s="391">
        <v>15460</v>
      </c>
      <c r="Y533" s="390">
        <v>8113</v>
      </c>
      <c r="Z533" s="381">
        <v>6762</v>
      </c>
      <c r="AA533" s="388">
        <v>301</v>
      </c>
      <c r="AB533" s="388">
        <v>0</v>
      </c>
      <c r="AC533" s="389">
        <v>7765</v>
      </c>
      <c r="AD533" s="389">
        <v>108</v>
      </c>
      <c r="AE533" s="392">
        <v>0</v>
      </c>
      <c r="AF533" s="381"/>
      <c r="AG533" s="389"/>
    </row>
    <row r="534" spans="1:33">
      <c r="A534" s="454" t="s">
        <v>438</v>
      </c>
      <c r="B534" s="453" t="s">
        <v>730</v>
      </c>
      <c r="C534" s="453"/>
      <c r="D534" s="454">
        <v>226152</v>
      </c>
      <c r="E534" s="410">
        <v>3</v>
      </c>
      <c r="F534" s="376">
        <f t="shared" si="35"/>
        <v>119975</v>
      </c>
      <c r="G534" s="377">
        <f t="shared" si="36"/>
        <v>133036</v>
      </c>
      <c r="H534" s="388">
        <v>114864</v>
      </c>
      <c r="I534" s="389">
        <v>126419</v>
      </c>
      <c r="J534" s="388">
        <v>0</v>
      </c>
      <c r="K534" s="390">
        <v>0</v>
      </c>
      <c r="L534" s="381">
        <v>5111</v>
      </c>
      <c r="M534" s="388">
        <v>0</v>
      </c>
      <c r="N534" s="388">
        <v>0</v>
      </c>
      <c r="O534" s="389">
        <v>6617</v>
      </c>
      <c r="P534" s="389">
        <v>0</v>
      </c>
      <c r="Q534" s="390">
        <v>0</v>
      </c>
      <c r="R534" s="381"/>
      <c r="S534" s="390"/>
      <c r="T534" s="383">
        <f t="shared" si="37"/>
        <v>15133</v>
      </c>
      <c r="U534" s="384">
        <f t="shared" si="38"/>
        <v>14220</v>
      </c>
      <c r="V534" s="388">
        <v>11947</v>
      </c>
      <c r="W534" s="389">
        <v>10989</v>
      </c>
      <c r="X534" s="391">
        <v>0</v>
      </c>
      <c r="Y534" s="390">
        <v>0</v>
      </c>
      <c r="Z534" s="381">
        <v>3015</v>
      </c>
      <c r="AA534" s="388">
        <v>171</v>
      </c>
      <c r="AB534" s="388">
        <v>0</v>
      </c>
      <c r="AC534" s="389">
        <v>3060</v>
      </c>
      <c r="AD534" s="389">
        <v>171</v>
      </c>
      <c r="AE534" s="392">
        <v>0</v>
      </c>
      <c r="AF534" s="381"/>
      <c r="AG534" s="389"/>
    </row>
    <row r="535" spans="1:33">
      <c r="A535" s="454" t="s">
        <v>438</v>
      </c>
      <c r="B535" s="453" t="s">
        <v>457</v>
      </c>
      <c r="C535" s="453"/>
      <c r="D535" s="454">
        <v>224554</v>
      </c>
      <c r="E535" s="408">
        <v>3</v>
      </c>
      <c r="F535" s="376">
        <f t="shared" si="35"/>
        <v>134111</v>
      </c>
      <c r="G535" s="377">
        <f t="shared" si="36"/>
        <v>149128</v>
      </c>
      <c r="H535" s="388">
        <v>91574</v>
      </c>
      <c r="I535" s="389">
        <v>98196</v>
      </c>
      <c r="J535" s="388">
        <v>14150</v>
      </c>
      <c r="K535" s="390">
        <v>14970</v>
      </c>
      <c r="L535" s="381">
        <v>27982</v>
      </c>
      <c r="M535" s="388">
        <v>405</v>
      </c>
      <c r="N535" s="388">
        <v>0</v>
      </c>
      <c r="O535" s="389">
        <v>35659</v>
      </c>
      <c r="P535" s="389">
        <v>303</v>
      </c>
      <c r="Q535" s="390">
        <v>0</v>
      </c>
      <c r="R535" s="381"/>
      <c r="S535" s="390"/>
      <c r="T535" s="383">
        <f t="shared" si="37"/>
        <v>60044</v>
      </c>
      <c r="U535" s="384">
        <f t="shared" si="38"/>
        <v>64200</v>
      </c>
      <c r="V535" s="388">
        <v>17090</v>
      </c>
      <c r="W535" s="389">
        <v>17488</v>
      </c>
      <c r="X535" s="391">
        <v>16441</v>
      </c>
      <c r="Y535" s="390">
        <v>16093</v>
      </c>
      <c r="Z535" s="381">
        <v>25790</v>
      </c>
      <c r="AA535" s="388">
        <v>723</v>
      </c>
      <c r="AB535" s="388">
        <v>0</v>
      </c>
      <c r="AC535" s="389">
        <v>30190</v>
      </c>
      <c r="AD535" s="389">
        <v>429</v>
      </c>
      <c r="AE535" s="392">
        <v>0</v>
      </c>
      <c r="AF535" s="381"/>
      <c r="AG535" s="389"/>
    </row>
    <row r="536" spans="1:33">
      <c r="A536" s="454" t="s">
        <v>438</v>
      </c>
      <c r="B536" s="453" t="s">
        <v>458</v>
      </c>
      <c r="C536" s="453"/>
      <c r="D536" s="454">
        <v>224147</v>
      </c>
      <c r="E536" s="408">
        <v>3</v>
      </c>
      <c r="F536" s="376">
        <f t="shared" si="35"/>
        <v>197980</v>
      </c>
      <c r="G536" s="377">
        <f t="shared" si="36"/>
        <v>210868</v>
      </c>
      <c r="H536" s="388">
        <v>195573</v>
      </c>
      <c r="I536" s="389">
        <v>203818</v>
      </c>
      <c r="J536" s="388">
        <v>0</v>
      </c>
      <c r="K536" s="390">
        <v>0</v>
      </c>
      <c r="L536" s="381">
        <v>2407</v>
      </c>
      <c r="M536" s="388">
        <v>0</v>
      </c>
      <c r="N536" s="388">
        <v>0</v>
      </c>
      <c r="O536" s="389">
        <v>7050</v>
      </c>
      <c r="P536" s="389">
        <v>0</v>
      </c>
      <c r="Q536" s="390">
        <v>0</v>
      </c>
      <c r="R536" s="381"/>
      <c r="S536" s="390"/>
      <c r="T536" s="383">
        <f t="shared" si="37"/>
        <v>27951</v>
      </c>
      <c r="U536" s="384">
        <f t="shared" si="38"/>
        <v>31031</v>
      </c>
      <c r="V536" s="388">
        <v>25647</v>
      </c>
      <c r="W536" s="389">
        <v>24486</v>
      </c>
      <c r="X536" s="391">
        <v>0</v>
      </c>
      <c r="Y536" s="390">
        <v>0</v>
      </c>
      <c r="Z536" s="381">
        <v>2304</v>
      </c>
      <c r="AA536" s="388">
        <v>0</v>
      </c>
      <c r="AB536" s="388">
        <v>0</v>
      </c>
      <c r="AC536" s="389">
        <v>6545</v>
      </c>
      <c r="AD536" s="389">
        <v>0</v>
      </c>
      <c r="AE536" s="392">
        <v>0</v>
      </c>
      <c r="AF536" s="381"/>
      <c r="AG536" s="389"/>
    </row>
    <row r="537" spans="1:33">
      <c r="A537" s="454" t="s">
        <v>438</v>
      </c>
      <c r="B537" s="453" t="s">
        <v>459</v>
      </c>
      <c r="C537" s="453"/>
      <c r="D537" s="454">
        <v>228705</v>
      </c>
      <c r="E537" s="408">
        <v>3</v>
      </c>
      <c r="F537" s="376">
        <f t="shared" si="35"/>
        <v>132231</v>
      </c>
      <c r="G537" s="377">
        <f t="shared" si="36"/>
        <v>131247</v>
      </c>
      <c r="H537" s="388">
        <v>112695</v>
      </c>
      <c r="I537" s="389">
        <v>127316</v>
      </c>
      <c r="J537" s="388">
        <v>16656</v>
      </c>
      <c r="K537" s="390">
        <v>947</v>
      </c>
      <c r="L537" s="381">
        <v>2331</v>
      </c>
      <c r="M537" s="388">
        <v>549</v>
      </c>
      <c r="N537" s="388">
        <v>0</v>
      </c>
      <c r="O537" s="389">
        <v>2640</v>
      </c>
      <c r="P537" s="389">
        <v>344</v>
      </c>
      <c r="Q537" s="390">
        <v>0</v>
      </c>
      <c r="R537" s="381"/>
      <c r="S537" s="390"/>
      <c r="T537" s="383">
        <f t="shared" si="37"/>
        <v>27076</v>
      </c>
      <c r="U537" s="384">
        <f t="shared" si="38"/>
        <v>21491</v>
      </c>
      <c r="V537" s="388">
        <v>18646</v>
      </c>
      <c r="W537" s="389">
        <v>16976</v>
      </c>
      <c r="X537" s="391">
        <v>4170</v>
      </c>
      <c r="Y537" s="390">
        <v>0</v>
      </c>
      <c r="Z537" s="381">
        <v>4128</v>
      </c>
      <c r="AA537" s="388">
        <v>132</v>
      </c>
      <c r="AB537" s="388">
        <v>0</v>
      </c>
      <c r="AC537" s="389">
        <v>4416</v>
      </c>
      <c r="AD537" s="389">
        <v>99</v>
      </c>
      <c r="AE537" s="392">
        <v>0</v>
      </c>
      <c r="AF537" s="381"/>
      <c r="AG537" s="389"/>
    </row>
    <row r="538" spans="1:33">
      <c r="A538" s="454" t="s">
        <v>438</v>
      </c>
      <c r="B538" s="453" t="s">
        <v>460</v>
      </c>
      <c r="C538" s="453"/>
      <c r="D538" s="454">
        <v>229063</v>
      </c>
      <c r="E538" s="408">
        <v>3</v>
      </c>
      <c r="F538" s="376">
        <f t="shared" si="35"/>
        <v>177407</v>
      </c>
      <c r="G538" s="377">
        <f t="shared" si="36"/>
        <v>188315</v>
      </c>
      <c r="H538" s="388">
        <v>175823</v>
      </c>
      <c r="I538" s="389">
        <v>184649</v>
      </c>
      <c r="J538" s="388">
        <v>165</v>
      </c>
      <c r="K538" s="390">
        <v>90</v>
      </c>
      <c r="L538" s="381">
        <v>0</v>
      </c>
      <c r="M538" s="388">
        <v>0</v>
      </c>
      <c r="N538" s="388">
        <v>1419</v>
      </c>
      <c r="O538" s="389">
        <v>1227</v>
      </c>
      <c r="P538" s="389">
        <v>0</v>
      </c>
      <c r="Q538" s="390">
        <v>2349</v>
      </c>
      <c r="R538" s="381"/>
      <c r="S538" s="390"/>
      <c r="T538" s="383">
        <f t="shared" si="37"/>
        <v>46198</v>
      </c>
      <c r="U538" s="384">
        <f t="shared" si="38"/>
        <v>53606</v>
      </c>
      <c r="V538" s="388">
        <v>45106</v>
      </c>
      <c r="W538" s="389">
        <v>48809</v>
      </c>
      <c r="X538" s="391">
        <v>324</v>
      </c>
      <c r="Y538" s="390">
        <v>369</v>
      </c>
      <c r="Z538" s="381">
        <v>0</v>
      </c>
      <c r="AA538" s="388">
        <v>0</v>
      </c>
      <c r="AB538" s="388">
        <v>768</v>
      </c>
      <c r="AC538" s="389">
        <v>2619</v>
      </c>
      <c r="AD538" s="389">
        <v>0</v>
      </c>
      <c r="AE538" s="392">
        <v>1809</v>
      </c>
      <c r="AF538" s="381"/>
      <c r="AG538" s="389"/>
    </row>
    <row r="539" spans="1:33">
      <c r="A539" s="454" t="s">
        <v>438</v>
      </c>
      <c r="B539" s="487" t="s">
        <v>461</v>
      </c>
      <c r="C539" s="487"/>
      <c r="D539" s="454">
        <v>228459</v>
      </c>
      <c r="E539" s="408">
        <v>3</v>
      </c>
      <c r="F539" s="376">
        <f t="shared" si="35"/>
        <v>677840</v>
      </c>
      <c r="G539" s="377">
        <f t="shared" si="36"/>
        <v>711892</v>
      </c>
      <c r="H539" s="388">
        <v>648891</v>
      </c>
      <c r="I539" s="389">
        <v>672208</v>
      </c>
      <c r="J539" s="388">
        <v>20220</v>
      </c>
      <c r="K539" s="390">
        <v>28613</v>
      </c>
      <c r="L539" s="381">
        <v>8285</v>
      </c>
      <c r="M539" s="388">
        <v>78</v>
      </c>
      <c r="N539" s="388">
        <v>366</v>
      </c>
      <c r="O539" s="389">
        <v>10578</v>
      </c>
      <c r="P539" s="389">
        <v>217</v>
      </c>
      <c r="Q539" s="390">
        <v>276</v>
      </c>
      <c r="R539" s="381"/>
      <c r="S539" s="390"/>
      <c r="T539" s="383">
        <f t="shared" si="37"/>
        <v>72757</v>
      </c>
      <c r="U539" s="384">
        <f t="shared" si="38"/>
        <v>78046</v>
      </c>
      <c r="V539" s="388">
        <v>57162</v>
      </c>
      <c r="W539" s="389">
        <v>60760</v>
      </c>
      <c r="X539" s="391">
        <v>10562</v>
      </c>
      <c r="Y539" s="390">
        <v>10625</v>
      </c>
      <c r="Z539" s="381">
        <v>4931</v>
      </c>
      <c r="AA539" s="388">
        <v>60</v>
      </c>
      <c r="AB539" s="388">
        <v>42</v>
      </c>
      <c r="AC539" s="389">
        <v>6040</v>
      </c>
      <c r="AD539" s="389">
        <v>573</v>
      </c>
      <c r="AE539" s="392">
        <v>48</v>
      </c>
      <c r="AF539" s="381"/>
      <c r="AG539" s="389"/>
    </row>
    <row r="540" spans="1:33">
      <c r="A540" s="454" t="s">
        <v>438</v>
      </c>
      <c r="B540" s="453" t="s">
        <v>462</v>
      </c>
      <c r="C540" s="453"/>
      <c r="D540" s="454">
        <v>225414</v>
      </c>
      <c r="E540" s="408">
        <v>3</v>
      </c>
      <c r="F540" s="376">
        <f t="shared" si="35"/>
        <v>95070</v>
      </c>
      <c r="G540" s="377">
        <f t="shared" si="36"/>
        <v>103500</v>
      </c>
      <c r="H540" s="388">
        <v>77661</v>
      </c>
      <c r="I540" s="389">
        <v>80826</v>
      </c>
      <c r="J540" s="388">
        <v>4155</v>
      </c>
      <c r="K540" s="390">
        <v>6642</v>
      </c>
      <c r="L540" s="381">
        <v>13254</v>
      </c>
      <c r="M540" s="388">
        <v>0</v>
      </c>
      <c r="N540" s="388">
        <v>0</v>
      </c>
      <c r="O540" s="389">
        <v>16032</v>
      </c>
      <c r="P540" s="389">
        <v>0</v>
      </c>
      <c r="Q540" s="390">
        <v>0</v>
      </c>
      <c r="R540" s="381"/>
      <c r="S540" s="390"/>
      <c r="T540" s="383">
        <f t="shared" si="37"/>
        <v>50931</v>
      </c>
      <c r="U540" s="384">
        <f t="shared" si="38"/>
        <v>53447</v>
      </c>
      <c r="V540" s="388">
        <v>32294</v>
      </c>
      <c r="W540" s="389">
        <v>33248</v>
      </c>
      <c r="X540" s="391">
        <v>6252</v>
      </c>
      <c r="Y540" s="390">
        <v>6044</v>
      </c>
      <c r="Z540" s="381">
        <v>12385</v>
      </c>
      <c r="AA540" s="388">
        <v>0</v>
      </c>
      <c r="AB540" s="388">
        <v>0</v>
      </c>
      <c r="AC540" s="389">
        <v>14155</v>
      </c>
      <c r="AD540" s="389">
        <v>0</v>
      </c>
      <c r="AE540" s="392">
        <v>0</v>
      </c>
      <c r="AF540" s="381"/>
      <c r="AG540" s="389"/>
    </row>
    <row r="541" spans="1:33">
      <c r="A541" s="454" t="s">
        <v>438</v>
      </c>
      <c r="B541" s="453" t="s">
        <v>463</v>
      </c>
      <c r="C541" s="453"/>
      <c r="D541" s="454">
        <v>228802</v>
      </c>
      <c r="E541" s="408">
        <v>3</v>
      </c>
      <c r="F541" s="376">
        <f t="shared" si="35"/>
        <v>126341</v>
      </c>
      <c r="G541" s="377">
        <f t="shared" si="36"/>
        <v>125035</v>
      </c>
      <c r="H541" s="388">
        <v>112868</v>
      </c>
      <c r="I541" s="389">
        <v>112529</v>
      </c>
      <c r="J541" s="388">
        <v>1548</v>
      </c>
      <c r="K541" s="390">
        <v>1643</v>
      </c>
      <c r="L541" s="381">
        <v>6188</v>
      </c>
      <c r="M541" s="388">
        <v>5737</v>
      </c>
      <c r="N541" s="388">
        <v>0</v>
      </c>
      <c r="O541" s="389">
        <v>5936</v>
      </c>
      <c r="P541" s="389">
        <v>4927</v>
      </c>
      <c r="Q541" s="390">
        <v>0</v>
      </c>
      <c r="R541" s="381"/>
      <c r="S541" s="390"/>
      <c r="T541" s="383">
        <f t="shared" si="37"/>
        <v>13307</v>
      </c>
      <c r="U541" s="384">
        <f t="shared" si="38"/>
        <v>19100</v>
      </c>
      <c r="V541" s="388">
        <v>8861</v>
      </c>
      <c r="W541" s="389">
        <v>9974</v>
      </c>
      <c r="X541" s="391">
        <v>324</v>
      </c>
      <c r="Y541" s="390">
        <v>84</v>
      </c>
      <c r="Z541" s="381">
        <v>3933</v>
      </c>
      <c r="AA541" s="388">
        <v>189</v>
      </c>
      <c r="AB541" s="388">
        <v>0</v>
      </c>
      <c r="AC541" s="389">
        <v>8679</v>
      </c>
      <c r="AD541" s="389">
        <v>363</v>
      </c>
      <c r="AE541" s="392">
        <v>0</v>
      </c>
      <c r="AF541" s="381"/>
      <c r="AG541" s="389"/>
    </row>
    <row r="542" spans="1:33">
      <c r="A542" s="454" t="s">
        <v>438</v>
      </c>
      <c r="B542" s="453" t="s">
        <v>464</v>
      </c>
      <c r="C542" s="453"/>
      <c r="D542" s="454">
        <v>227368</v>
      </c>
      <c r="E542" s="408">
        <v>3</v>
      </c>
      <c r="F542" s="376">
        <f t="shared" si="35"/>
        <v>418428</v>
      </c>
      <c r="G542" s="377">
        <f t="shared" si="36"/>
        <v>432823</v>
      </c>
      <c r="H542" s="388">
        <v>407634</v>
      </c>
      <c r="I542" s="389">
        <v>402907</v>
      </c>
      <c r="J542" s="388">
        <v>4640</v>
      </c>
      <c r="K542" s="390">
        <v>3261</v>
      </c>
      <c r="L542" s="381">
        <v>5794</v>
      </c>
      <c r="M542" s="388">
        <v>360</v>
      </c>
      <c r="N542" s="388">
        <v>0</v>
      </c>
      <c r="O542" s="389">
        <v>26085</v>
      </c>
      <c r="P542" s="389">
        <v>570</v>
      </c>
      <c r="Q542" s="390">
        <v>0</v>
      </c>
      <c r="R542" s="381"/>
      <c r="S542" s="390"/>
      <c r="T542" s="383">
        <f t="shared" si="37"/>
        <v>39437</v>
      </c>
      <c r="U542" s="384">
        <f t="shared" si="38"/>
        <v>43229</v>
      </c>
      <c r="V542" s="388">
        <v>37544</v>
      </c>
      <c r="W542" s="389">
        <v>37173</v>
      </c>
      <c r="X542" s="391">
        <v>78</v>
      </c>
      <c r="Y542" s="390">
        <v>2703</v>
      </c>
      <c r="Z542" s="381">
        <v>1815</v>
      </c>
      <c r="AA542" s="388">
        <v>0</v>
      </c>
      <c r="AB542" s="388">
        <v>0</v>
      </c>
      <c r="AC542" s="389">
        <v>3353</v>
      </c>
      <c r="AD542" s="389">
        <v>0</v>
      </c>
      <c r="AE542" s="392">
        <v>0</v>
      </c>
      <c r="AF542" s="381"/>
      <c r="AG542" s="389"/>
    </row>
    <row r="543" spans="1:33">
      <c r="A543" s="454" t="s">
        <v>438</v>
      </c>
      <c r="B543" s="453" t="s">
        <v>465</v>
      </c>
      <c r="C543" s="453"/>
      <c r="D543" s="454">
        <v>229814</v>
      </c>
      <c r="E543" s="408">
        <v>3</v>
      </c>
      <c r="F543" s="376">
        <f t="shared" si="35"/>
        <v>162080</v>
      </c>
      <c r="G543" s="377">
        <f t="shared" si="36"/>
        <v>167750</v>
      </c>
      <c r="H543" s="388">
        <v>133024</v>
      </c>
      <c r="I543" s="389">
        <v>135758</v>
      </c>
      <c r="J543" s="388">
        <v>0</v>
      </c>
      <c r="K543" s="390">
        <v>87</v>
      </c>
      <c r="L543" s="381">
        <v>29056</v>
      </c>
      <c r="M543" s="388">
        <v>0</v>
      </c>
      <c r="N543" s="388">
        <v>0</v>
      </c>
      <c r="O543" s="389">
        <v>31905</v>
      </c>
      <c r="P543" s="389">
        <v>0</v>
      </c>
      <c r="Q543" s="390">
        <v>0</v>
      </c>
      <c r="R543" s="381"/>
      <c r="S543" s="390"/>
      <c r="T543" s="383">
        <f t="shared" si="37"/>
        <v>20395</v>
      </c>
      <c r="U543" s="384">
        <f t="shared" si="38"/>
        <v>20269</v>
      </c>
      <c r="V543" s="388">
        <v>10163</v>
      </c>
      <c r="W543" s="389">
        <v>9853</v>
      </c>
      <c r="X543" s="391">
        <v>231</v>
      </c>
      <c r="Y543" s="390">
        <v>252</v>
      </c>
      <c r="Z543" s="381">
        <v>10001</v>
      </c>
      <c r="AA543" s="388">
        <v>0</v>
      </c>
      <c r="AB543" s="388">
        <v>0</v>
      </c>
      <c r="AC543" s="389">
        <v>10164</v>
      </c>
      <c r="AD543" s="389">
        <v>0</v>
      </c>
      <c r="AE543" s="392">
        <v>0</v>
      </c>
      <c r="AF543" s="381"/>
      <c r="AG543" s="389"/>
    </row>
    <row r="544" spans="1:33">
      <c r="A544" s="454" t="s">
        <v>438</v>
      </c>
      <c r="B544" s="453" t="s">
        <v>466</v>
      </c>
      <c r="C544" s="453"/>
      <c r="D544" s="454">
        <v>224545</v>
      </c>
      <c r="E544" s="408">
        <v>4</v>
      </c>
      <c r="F544" s="376">
        <f t="shared" si="35"/>
        <v>24286</v>
      </c>
      <c r="G544" s="377">
        <f t="shared" si="36"/>
        <v>27281</v>
      </c>
      <c r="H544" s="388">
        <v>16034</v>
      </c>
      <c r="I544" s="389">
        <v>16265</v>
      </c>
      <c r="J544" s="388">
        <v>3864</v>
      </c>
      <c r="K544" s="390">
        <v>4086</v>
      </c>
      <c r="L544" s="381">
        <v>4242</v>
      </c>
      <c r="M544" s="388">
        <v>146</v>
      </c>
      <c r="N544" s="388">
        <v>0</v>
      </c>
      <c r="O544" s="389">
        <v>6324</v>
      </c>
      <c r="P544" s="389">
        <v>606</v>
      </c>
      <c r="Q544" s="390">
        <v>0</v>
      </c>
      <c r="R544" s="381"/>
      <c r="S544" s="390"/>
      <c r="T544" s="383">
        <f t="shared" si="37"/>
        <v>9072</v>
      </c>
      <c r="U544" s="384">
        <f t="shared" si="38"/>
        <v>9721</v>
      </c>
      <c r="V544" s="388">
        <v>6075</v>
      </c>
      <c r="W544" s="389">
        <v>5089</v>
      </c>
      <c r="X544" s="391">
        <v>663</v>
      </c>
      <c r="Y544" s="390">
        <v>1590</v>
      </c>
      <c r="Z544" s="381">
        <v>2334</v>
      </c>
      <c r="AA544" s="388">
        <v>0</v>
      </c>
      <c r="AB544" s="388">
        <v>0</v>
      </c>
      <c r="AC544" s="389">
        <v>3042</v>
      </c>
      <c r="AD544" s="389">
        <v>0</v>
      </c>
      <c r="AE544" s="392">
        <v>0</v>
      </c>
      <c r="AF544" s="381"/>
      <c r="AG544" s="389"/>
    </row>
    <row r="545" spans="1:33">
      <c r="A545" s="454" t="s">
        <v>438</v>
      </c>
      <c r="B545" s="453" t="s">
        <v>467</v>
      </c>
      <c r="C545" s="453"/>
      <c r="D545" s="454">
        <v>225502</v>
      </c>
      <c r="E545" s="410">
        <v>4</v>
      </c>
      <c r="F545" s="376">
        <f t="shared" si="35"/>
        <v>40758</v>
      </c>
      <c r="G545" s="377">
        <f t="shared" si="36"/>
        <v>49683</v>
      </c>
      <c r="H545" s="388">
        <v>3793</v>
      </c>
      <c r="I545" s="389">
        <v>6829</v>
      </c>
      <c r="J545" s="388">
        <v>7695</v>
      </c>
      <c r="K545" s="390">
        <v>7859</v>
      </c>
      <c r="L545" s="381">
        <v>26856</v>
      </c>
      <c r="M545" s="388">
        <v>0</v>
      </c>
      <c r="N545" s="388">
        <v>2414</v>
      </c>
      <c r="O545" s="389">
        <v>30849</v>
      </c>
      <c r="P545" s="389">
        <v>1379</v>
      </c>
      <c r="Q545" s="390">
        <v>2767</v>
      </c>
      <c r="R545" s="381"/>
      <c r="S545" s="390"/>
      <c r="T545" s="383">
        <f t="shared" si="37"/>
        <v>25069</v>
      </c>
      <c r="U545" s="384">
        <f t="shared" si="38"/>
        <v>27186</v>
      </c>
      <c r="V545" s="388">
        <v>967</v>
      </c>
      <c r="W545" s="389">
        <v>981</v>
      </c>
      <c r="X545" s="391">
        <v>5742</v>
      </c>
      <c r="Y545" s="390">
        <v>5853</v>
      </c>
      <c r="Z545" s="381">
        <v>17460</v>
      </c>
      <c r="AA545" s="388">
        <v>0</v>
      </c>
      <c r="AB545" s="388">
        <v>900</v>
      </c>
      <c r="AC545" s="389">
        <v>18906</v>
      </c>
      <c r="AD545" s="389">
        <v>789</v>
      </c>
      <c r="AE545" s="392">
        <v>657</v>
      </c>
      <c r="AF545" s="381"/>
      <c r="AG545" s="389"/>
    </row>
    <row r="546" spans="1:33" ht="13.5">
      <c r="A546" s="454" t="s">
        <v>438</v>
      </c>
      <c r="B546" s="578" t="s">
        <v>468</v>
      </c>
      <c r="C546" s="579" t="s">
        <v>962</v>
      </c>
      <c r="D546" s="454">
        <v>227377</v>
      </c>
      <c r="E546" s="580">
        <v>3</v>
      </c>
      <c r="F546" s="376">
        <f t="shared" si="35"/>
        <v>89797</v>
      </c>
      <c r="G546" s="377">
        <f t="shared" si="36"/>
        <v>96681</v>
      </c>
      <c r="H546" s="388">
        <v>74569</v>
      </c>
      <c r="I546" s="389">
        <v>80727</v>
      </c>
      <c r="J546" s="388">
        <v>0</v>
      </c>
      <c r="K546" s="390">
        <v>0</v>
      </c>
      <c r="L546" s="381">
        <v>15228</v>
      </c>
      <c r="M546" s="388">
        <v>0</v>
      </c>
      <c r="N546" s="388">
        <v>0</v>
      </c>
      <c r="O546" s="389">
        <v>15954</v>
      </c>
      <c r="P546" s="389">
        <v>0</v>
      </c>
      <c r="Q546" s="390">
        <v>0</v>
      </c>
      <c r="R546" s="381"/>
      <c r="S546" s="390"/>
      <c r="T546" s="383">
        <f t="shared" si="37"/>
        <v>11711</v>
      </c>
      <c r="U546" s="384">
        <f t="shared" si="38"/>
        <v>12357</v>
      </c>
      <c r="V546" s="388">
        <v>9719</v>
      </c>
      <c r="W546" s="389">
        <v>9949</v>
      </c>
      <c r="X546" s="391">
        <v>0</v>
      </c>
      <c r="Y546" s="390">
        <v>0</v>
      </c>
      <c r="Z546" s="381">
        <v>1992</v>
      </c>
      <c r="AA546" s="388">
        <v>0</v>
      </c>
      <c r="AB546" s="388">
        <v>0</v>
      </c>
      <c r="AC546" s="389">
        <v>2408</v>
      </c>
      <c r="AD546" s="389">
        <v>0</v>
      </c>
      <c r="AE546" s="392">
        <v>0</v>
      </c>
      <c r="AF546" s="381"/>
      <c r="AG546" s="389"/>
    </row>
    <row r="547" spans="1:33" ht="13.5">
      <c r="A547" s="454" t="s">
        <v>438</v>
      </c>
      <c r="B547" s="453" t="s">
        <v>469</v>
      </c>
      <c r="C547" s="577" t="s">
        <v>963</v>
      </c>
      <c r="D547" s="454">
        <v>229018</v>
      </c>
      <c r="E547" s="408">
        <v>4</v>
      </c>
      <c r="F547" s="376">
        <f t="shared" si="35"/>
        <v>67756</v>
      </c>
      <c r="G547" s="377">
        <f t="shared" si="36"/>
        <v>74012</v>
      </c>
      <c r="H547" s="388">
        <v>57391</v>
      </c>
      <c r="I547" s="389">
        <v>59299</v>
      </c>
      <c r="J547" s="388">
        <v>870</v>
      </c>
      <c r="K547" s="390">
        <v>622</v>
      </c>
      <c r="L547" s="381">
        <v>9432</v>
      </c>
      <c r="M547" s="388">
        <v>63</v>
      </c>
      <c r="N547" s="388">
        <v>0</v>
      </c>
      <c r="O547" s="389">
        <v>14079</v>
      </c>
      <c r="P547" s="389">
        <v>12</v>
      </c>
      <c r="Q547" s="390">
        <v>0</v>
      </c>
      <c r="R547" s="381"/>
      <c r="S547" s="390"/>
      <c r="T547" s="383">
        <f t="shared" si="37"/>
        <v>10192</v>
      </c>
      <c r="U547" s="384">
        <f t="shared" si="38"/>
        <v>10029</v>
      </c>
      <c r="V547" s="388">
        <v>6769</v>
      </c>
      <c r="W547" s="389">
        <v>5712</v>
      </c>
      <c r="X547" s="391">
        <v>54</v>
      </c>
      <c r="Y547" s="390">
        <v>33</v>
      </c>
      <c r="Z547" s="381">
        <v>3369</v>
      </c>
      <c r="AA547" s="388">
        <v>0</v>
      </c>
      <c r="AB547" s="388">
        <v>0</v>
      </c>
      <c r="AC547" s="389">
        <v>4284</v>
      </c>
      <c r="AD547" s="389">
        <v>0</v>
      </c>
      <c r="AE547" s="392">
        <v>0</v>
      </c>
      <c r="AF547" s="381"/>
      <c r="AG547" s="389"/>
    </row>
    <row r="548" spans="1:33">
      <c r="A548" s="454" t="s">
        <v>438</v>
      </c>
      <c r="B548" s="453" t="s">
        <v>470</v>
      </c>
      <c r="C548" s="453"/>
      <c r="D548" s="454" t="s">
        <v>471</v>
      </c>
      <c r="E548" s="408">
        <v>5</v>
      </c>
      <c r="F548" s="376">
        <f t="shared" si="35"/>
        <v>15986</v>
      </c>
      <c r="G548" s="377">
        <f t="shared" si="36"/>
        <v>17595</v>
      </c>
      <c r="H548" s="388">
        <v>9032</v>
      </c>
      <c r="I548" s="389">
        <v>8539</v>
      </c>
      <c r="J548" s="388">
        <v>0</v>
      </c>
      <c r="K548" s="390">
        <v>0</v>
      </c>
      <c r="L548" s="381">
        <v>2694</v>
      </c>
      <c r="M548" s="388">
        <v>4239</v>
      </c>
      <c r="N548" s="388">
        <v>21</v>
      </c>
      <c r="O548" s="389">
        <v>4253</v>
      </c>
      <c r="P548" s="389">
        <v>4803</v>
      </c>
      <c r="Q548" s="390">
        <v>0</v>
      </c>
      <c r="R548" s="381"/>
      <c r="S548" s="390"/>
      <c r="T548" s="383">
        <f t="shared" si="37"/>
        <v>3306</v>
      </c>
      <c r="U548" s="384">
        <f t="shared" si="38"/>
        <v>3612</v>
      </c>
      <c r="V548" s="388">
        <v>2310</v>
      </c>
      <c r="W548" s="389">
        <v>2052</v>
      </c>
      <c r="X548" s="391">
        <v>0</v>
      </c>
      <c r="Y548" s="390">
        <v>0</v>
      </c>
      <c r="Z548" s="381">
        <v>705</v>
      </c>
      <c r="AA548" s="388">
        <v>285</v>
      </c>
      <c r="AB548" s="388">
        <v>6</v>
      </c>
      <c r="AC548" s="389">
        <v>1161</v>
      </c>
      <c r="AD548" s="389">
        <v>399</v>
      </c>
      <c r="AE548" s="392">
        <v>0</v>
      </c>
      <c r="AF548" s="381"/>
      <c r="AG548" s="389"/>
    </row>
    <row r="549" spans="1:33">
      <c r="A549" s="454" t="s">
        <v>438</v>
      </c>
      <c r="B549" s="453" t="s">
        <v>472</v>
      </c>
      <c r="C549" s="453"/>
      <c r="D549" s="454">
        <v>225432</v>
      </c>
      <c r="E549" s="408">
        <v>5</v>
      </c>
      <c r="F549" s="376">
        <f t="shared" si="35"/>
        <v>260497</v>
      </c>
      <c r="G549" s="377">
        <f t="shared" si="36"/>
        <v>264140</v>
      </c>
      <c r="H549" s="388">
        <v>219564</v>
      </c>
      <c r="I549" s="389">
        <v>211159</v>
      </c>
      <c r="J549" s="388">
        <v>12985</v>
      </c>
      <c r="K549" s="390">
        <v>12808</v>
      </c>
      <c r="L549" s="381">
        <v>26220</v>
      </c>
      <c r="M549" s="388">
        <v>1458</v>
      </c>
      <c r="N549" s="388">
        <v>270</v>
      </c>
      <c r="O549" s="389">
        <v>39399</v>
      </c>
      <c r="P549" s="389">
        <v>774</v>
      </c>
      <c r="Q549" s="390">
        <v>0</v>
      </c>
      <c r="R549" s="381"/>
      <c r="S549" s="390"/>
      <c r="T549" s="383">
        <f t="shared" si="37"/>
        <v>2184</v>
      </c>
      <c r="U549" s="384">
        <f t="shared" si="38"/>
        <v>2013</v>
      </c>
      <c r="V549" s="388">
        <v>2157</v>
      </c>
      <c r="W549" s="389">
        <v>1911</v>
      </c>
      <c r="X549" s="391">
        <v>9</v>
      </c>
      <c r="Y549" s="390">
        <v>30</v>
      </c>
      <c r="Z549" s="381">
        <v>18</v>
      </c>
      <c r="AA549" s="388">
        <v>0</v>
      </c>
      <c r="AB549" s="388">
        <v>0</v>
      </c>
      <c r="AC549" s="389">
        <v>72</v>
      </c>
      <c r="AD549" s="389">
        <v>0</v>
      </c>
      <c r="AE549" s="392">
        <v>0</v>
      </c>
      <c r="AF549" s="381"/>
      <c r="AG549" s="389"/>
    </row>
    <row r="550" spans="1:33">
      <c r="A550" s="454" t="s">
        <v>438</v>
      </c>
      <c r="B550" s="453" t="s">
        <v>473</v>
      </c>
      <c r="C550" s="453"/>
      <c r="D550" s="454">
        <v>228714</v>
      </c>
      <c r="E550" s="408">
        <v>6</v>
      </c>
      <c r="F550" s="376">
        <f t="shared" si="35"/>
        <v>49077</v>
      </c>
      <c r="G550" s="377">
        <f t="shared" si="36"/>
        <v>49481</v>
      </c>
      <c r="H550" s="388">
        <v>49077</v>
      </c>
      <c r="I550" s="389">
        <v>49475</v>
      </c>
      <c r="J550" s="388">
        <v>0</v>
      </c>
      <c r="K550" s="390">
        <v>0</v>
      </c>
      <c r="L550" s="381">
        <v>0</v>
      </c>
      <c r="M550" s="388">
        <v>0</v>
      </c>
      <c r="N550" s="388">
        <v>0</v>
      </c>
      <c r="O550" s="389">
        <v>6</v>
      </c>
      <c r="P550" s="389">
        <v>0</v>
      </c>
      <c r="Q550" s="390">
        <v>0</v>
      </c>
      <c r="R550" s="381"/>
      <c r="S550" s="390"/>
      <c r="T550" s="383">
        <f t="shared" si="37"/>
        <v>874</v>
      </c>
      <c r="U550" s="384">
        <f t="shared" si="38"/>
        <v>996</v>
      </c>
      <c r="V550" s="388">
        <v>820</v>
      </c>
      <c r="W550" s="389">
        <v>921</v>
      </c>
      <c r="X550" s="391">
        <v>18</v>
      </c>
      <c r="Y550" s="390">
        <v>12</v>
      </c>
      <c r="Z550" s="381">
        <v>36</v>
      </c>
      <c r="AA550" s="388">
        <v>0</v>
      </c>
      <c r="AB550" s="388">
        <v>0</v>
      </c>
      <c r="AC550" s="389">
        <v>42</v>
      </c>
      <c r="AD550" s="389">
        <v>0</v>
      </c>
      <c r="AE550" s="392">
        <v>21</v>
      </c>
      <c r="AF550" s="381"/>
      <c r="AG550" s="389"/>
    </row>
    <row r="551" spans="1:33">
      <c r="A551" s="454" t="s">
        <v>438</v>
      </c>
      <c r="B551" s="488" t="s">
        <v>474</v>
      </c>
      <c r="C551" s="488"/>
      <c r="D551" s="454">
        <v>223506</v>
      </c>
      <c r="E551" s="410">
        <v>7</v>
      </c>
      <c r="F551" s="376">
        <f t="shared" si="35"/>
        <v>69862</v>
      </c>
      <c r="G551" s="377">
        <f t="shared" si="36"/>
        <v>78728</v>
      </c>
      <c r="H551" s="388">
        <v>56582</v>
      </c>
      <c r="I551" s="389">
        <v>62683</v>
      </c>
      <c r="J551" s="388">
        <v>4746</v>
      </c>
      <c r="K551" s="390">
        <v>4942</v>
      </c>
      <c r="L551" s="381">
        <v>8534</v>
      </c>
      <c r="M551" s="388">
        <v>0</v>
      </c>
      <c r="N551" s="388">
        <v>0</v>
      </c>
      <c r="O551" s="389">
        <v>11103</v>
      </c>
      <c r="P551" s="389">
        <v>0</v>
      </c>
      <c r="Q551" s="390">
        <v>0</v>
      </c>
      <c r="R551" s="381"/>
      <c r="S551" s="390"/>
      <c r="T551" s="383">
        <f t="shared" si="37"/>
        <v>0</v>
      </c>
      <c r="U551" s="384">
        <f t="shared" si="38"/>
        <v>0</v>
      </c>
      <c r="V551" s="388"/>
      <c r="W551" s="389"/>
      <c r="X551" s="391"/>
      <c r="Y551" s="390"/>
      <c r="Z551" s="381"/>
      <c r="AA551" s="388"/>
      <c r="AB551" s="388"/>
      <c r="AC551" s="389"/>
      <c r="AD551" s="389"/>
      <c r="AE551" s="392"/>
      <c r="AF551" s="381"/>
      <c r="AG551" s="389"/>
    </row>
    <row r="552" spans="1:33">
      <c r="A552" s="454" t="s">
        <v>438</v>
      </c>
      <c r="B552" s="488" t="s">
        <v>475</v>
      </c>
      <c r="C552" s="488"/>
      <c r="D552" s="454">
        <v>226806</v>
      </c>
      <c r="E552" s="410">
        <v>7</v>
      </c>
      <c r="F552" s="376">
        <f t="shared" si="35"/>
        <v>116091</v>
      </c>
      <c r="G552" s="377">
        <f t="shared" si="36"/>
        <v>125438</v>
      </c>
      <c r="H552" s="388">
        <v>76871</v>
      </c>
      <c r="I552" s="389">
        <v>81111</v>
      </c>
      <c r="J552" s="388">
        <v>2474</v>
      </c>
      <c r="K552" s="390">
        <v>2678</v>
      </c>
      <c r="L552" s="381">
        <v>34935</v>
      </c>
      <c r="M552" s="388">
        <v>1811</v>
      </c>
      <c r="N552" s="388">
        <v>0</v>
      </c>
      <c r="O552" s="389">
        <v>40355</v>
      </c>
      <c r="P552" s="389">
        <v>1294</v>
      </c>
      <c r="Q552" s="390">
        <v>0</v>
      </c>
      <c r="R552" s="381"/>
      <c r="S552" s="390"/>
      <c r="T552" s="383">
        <f t="shared" si="37"/>
        <v>0</v>
      </c>
      <c r="U552" s="384">
        <f t="shared" si="38"/>
        <v>0</v>
      </c>
      <c r="V552" s="388"/>
      <c r="W552" s="389"/>
      <c r="X552" s="391"/>
      <c r="Y552" s="390"/>
      <c r="Z552" s="381"/>
      <c r="AA552" s="388"/>
      <c r="AB552" s="388"/>
      <c r="AC552" s="389"/>
      <c r="AD552" s="389"/>
      <c r="AE552" s="392"/>
      <c r="AF552" s="381"/>
      <c r="AG552" s="389"/>
    </row>
    <row r="553" spans="1:33">
      <c r="A553" s="454" t="s">
        <v>438</v>
      </c>
      <c r="B553" s="488" t="s">
        <v>476</v>
      </c>
      <c r="C553" s="488"/>
      <c r="D553" s="489">
        <v>409315</v>
      </c>
      <c r="E553" s="490">
        <v>7</v>
      </c>
      <c r="F553" s="376">
        <f t="shared" si="35"/>
        <v>460037</v>
      </c>
      <c r="G553" s="377">
        <f t="shared" si="36"/>
        <v>543940</v>
      </c>
      <c r="H553" s="388">
        <v>407227</v>
      </c>
      <c r="I553" s="389">
        <v>467854</v>
      </c>
      <c r="J553" s="388">
        <v>0</v>
      </c>
      <c r="K553" s="390">
        <v>0</v>
      </c>
      <c r="L553" s="381">
        <v>52660</v>
      </c>
      <c r="M553" s="388">
        <v>0</v>
      </c>
      <c r="N553" s="388">
        <v>150</v>
      </c>
      <c r="O553" s="389">
        <v>75897</v>
      </c>
      <c r="P553" s="389">
        <v>0</v>
      </c>
      <c r="Q553" s="390">
        <v>189</v>
      </c>
      <c r="R553" s="381"/>
      <c r="S553" s="390"/>
      <c r="T553" s="383">
        <f t="shared" si="37"/>
        <v>0</v>
      </c>
      <c r="U553" s="384">
        <f t="shared" si="38"/>
        <v>0</v>
      </c>
      <c r="V553" s="388"/>
      <c r="W553" s="389"/>
      <c r="X553" s="391"/>
      <c r="Y553" s="390"/>
      <c r="Z553" s="381"/>
      <c r="AA553" s="388"/>
      <c r="AB553" s="388"/>
      <c r="AC553" s="389"/>
      <c r="AD553" s="389"/>
      <c r="AE553" s="392"/>
      <c r="AF553" s="381"/>
      <c r="AG553" s="389"/>
    </row>
    <row r="554" spans="1:33">
      <c r="A554" s="454" t="s">
        <v>438</v>
      </c>
      <c r="B554" s="453" t="s">
        <v>477</v>
      </c>
      <c r="C554" s="453"/>
      <c r="D554" s="454">
        <v>222576</v>
      </c>
      <c r="E554" s="408">
        <v>8</v>
      </c>
      <c r="F554" s="376">
        <f t="shared" si="35"/>
        <v>190249</v>
      </c>
      <c r="G554" s="377">
        <f t="shared" si="36"/>
        <v>213375</v>
      </c>
      <c r="H554" s="388">
        <v>134144</v>
      </c>
      <c r="I554" s="389">
        <v>145744</v>
      </c>
      <c r="J554" s="388">
        <v>6082</v>
      </c>
      <c r="K554" s="390">
        <v>7229</v>
      </c>
      <c r="L554" s="381">
        <v>44339</v>
      </c>
      <c r="M554" s="388">
        <v>474</v>
      </c>
      <c r="N554" s="388">
        <v>5210</v>
      </c>
      <c r="O554" s="389">
        <v>51591</v>
      </c>
      <c r="P554" s="389">
        <v>390</v>
      </c>
      <c r="Q554" s="390">
        <v>8421</v>
      </c>
      <c r="R554" s="381"/>
      <c r="S554" s="390"/>
      <c r="T554" s="383">
        <f t="shared" si="37"/>
        <v>0</v>
      </c>
      <c r="U554" s="384">
        <f t="shared" si="38"/>
        <v>0</v>
      </c>
      <c r="V554" s="388"/>
      <c r="W554" s="389"/>
      <c r="X554" s="391"/>
      <c r="Y554" s="390"/>
      <c r="Z554" s="381"/>
      <c r="AA554" s="388"/>
      <c r="AB554" s="388"/>
      <c r="AC554" s="389"/>
      <c r="AD554" s="389"/>
      <c r="AE554" s="392"/>
      <c r="AF554" s="381"/>
      <c r="AG554" s="389"/>
    </row>
    <row r="555" spans="1:33">
      <c r="A555" s="454" t="s">
        <v>438</v>
      </c>
      <c r="B555" s="453" t="s">
        <v>478</v>
      </c>
      <c r="C555" s="453"/>
      <c r="D555" s="454">
        <v>222992</v>
      </c>
      <c r="E555" s="408">
        <v>8</v>
      </c>
      <c r="F555" s="376">
        <f t="shared" si="35"/>
        <v>728939</v>
      </c>
      <c r="G555" s="377">
        <f t="shared" si="36"/>
        <v>816462</v>
      </c>
      <c r="H555" s="388">
        <v>580656</v>
      </c>
      <c r="I555" s="389">
        <v>680276</v>
      </c>
      <c r="J555" s="388">
        <v>49142</v>
      </c>
      <c r="K555" s="390">
        <v>48752</v>
      </c>
      <c r="L555" s="381">
        <v>97041</v>
      </c>
      <c r="M555" s="388">
        <v>0</v>
      </c>
      <c r="N555" s="388">
        <v>2100</v>
      </c>
      <c r="O555" s="389">
        <v>84116</v>
      </c>
      <c r="P555" s="389">
        <v>0</v>
      </c>
      <c r="Q555" s="390">
        <v>3318</v>
      </c>
      <c r="R555" s="381"/>
      <c r="S555" s="390"/>
      <c r="T555" s="383">
        <f t="shared" si="37"/>
        <v>0</v>
      </c>
      <c r="U555" s="384">
        <f t="shared" si="38"/>
        <v>0</v>
      </c>
      <c r="V555" s="388"/>
      <c r="W555" s="389"/>
      <c r="X555" s="391"/>
      <c r="Y555" s="390"/>
      <c r="Z555" s="381"/>
      <c r="AA555" s="388"/>
      <c r="AB555" s="388"/>
      <c r="AC555" s="389"/>
      <c r="AD555" s="389"/>
      <c r="AE555" s="392"/>
      <c r="AF555" s="381"/>
      <c r="AG555" s="389"/>
    </row>
    <row r="556" spans="1:33">
      <c r="A556" s="454" t="s">
        <v>438</v>
      </c>
      <c r="B556" s="453" t="s">
        <v>479</v>
      </c>
      <c r="C556" s="453"/>
      <c r="D556" s="454">
        <v>223427</v>
      </c>
      <c r="E556" s="408">
        <v>8</v>
      </c>
      <c r="F556" s="376">
        <f t="shared" si="35"/>
        <v>372652</v>
      </c>
      <c r="G556" s="377">
        <f t="shared" si="36"/>
        <v>389577</v>
      </c>
      <c r="H556" s="388">
        <v>58220</v>
      </c>
      <c r="I556" s="389">
        <v>59797</v>
      </c>
      <c r="J556" s="388">
        <v>270782</v>
      </c>
      <c r="K556" s="390">
        <v>273747</v>
      </c>
      <c r="L556" s="381">
        <v>43650</v>
      </c>
      <c r="M556" s="388">
        <v>0</v>
      </c>
      <c r="N556" s="388">
        <v>0</v>
      </c>
      <c r="O556" s="389">
        <v>56033</v>
      </c>
      <c r="P556" s="389">
        <v>0</v>
      </c>
      <c r="Q556" s="390">
        <v>0</v>
      </c>
      <c r="R556" s="381"/>
      <c r="S556" s="390"/>
      <c r="T556" s="383">
        <f t="shared" si="37"/>
        <v>0</v>
      </c>
      <c r="U556" s="384">
        <f t="shared" si="38"/>
        <v>0</v>
      </c>
      <c r="V556" s="388"/>
      <c r="W556" s="389"/>
      <c r="X556" s="391"/>
      <c r="Y556" s="390"/>
      <c r="Z556" s="381"/>
      <c r="AA556" s="388"/>
      <c r="AB556" s="388"/>
      <c r="AC556" s="389"/>
      <c r="AD556" s="389"/>
      <c r="AE556" s="392"/>
      <c r="AF556" s="381"/>
      <c r="AG556" s="389"/>
    </row>
    <row r="557" spans="1:33">
      <c r="A557" s="454" t="s">
        <v>438</v>
      </c>
      <c r="B557" s="453" t="s">
        <v>480</v>
      </c>
      <c r="C557" s="453"/>
      <c r="D557" s="454">
        <v>223524</v>
      </c>
      <c r="E557" s="408">
        <v>8</v>
      </c>
      <c r="F557" s="376">
        <f t="shared" si="35"/>
        <v>197873</v>
      </c>
      <c r="G557" s="377">
        <f t="shared" si="36"/>
        <v>216050</v>
      </c>
      <c r="H557" s="388">
        <v>150597</v>
      </c>
      <c r="I557" s="389">
        <v>161260</v>
      </c>
      <c r="J557" s="388">
        <v>0</v>
      </c>
      <c r="K557" s="390">
        <v>0</v>
      </c>
      <c r="L557" s="381">
        <v>47005</v>
      </c>
      <c r="M557" s="388">
        <v>0</v>
      </c>
      <c r="N557" s="388">
        <v>271</v>
      </c>
      <c r="O557" s="389">
        <v>54564</v>
      </c>
      <c r="P557" s="389">
        <v>0</v>
      </c>
      <c r="Q557" s="390">
        <v>226</v>
      </c>
      <c r="R557" s="381"/>
      <c r="S557" s="390"/>
      <c r="T557" s="383">
        <f t="shared" si="37"/>
        <v>0</v>
      </c>
      <c r="U557" s="384">
        <f t="shared" si="38"/>
        <v>0</v>
      </c>
      <c r="V557" s="388"/>
      <c r="W557" s="389"/>
      <c r="X557" s="391"/>
      <c r="Y557" s="390"/>
      <c r="Z557" s="381"/>
      <c r="AA557" s="388"/>
      <c r="AB557" s="388"/>
      <c r="AC557" s="389"/>
      <c r="AD557" s="389"/>
      <c r="AE557" s="392"/>
      <c r="AF557" s="381"/>
      <c r="AG557" s="389"/>
    </row>
    <row r="558" spans="1:33">
      <c r="A558" s="454" t="s">
        <v>438</v>
      </c>
      <c r="B558" s="453" t="s">
        <v>481</v>
      </c>
      <c r="C558" s="453"/>
      <c r="D558" s="454">
        <v>223816</v>
      </c>
      <c r="E558" s="408">
        <v>8</v>
      </c>
      <c r="F558" s="376">
        <f t="shared" si="35"/>
        <v>274603</v>
      </c>
      <c r="G558" s="377">
        <f t="shared" si="36"/>
        <v>311862</v>
      </c>
      <c r="H558" s="388">
        <v>102979</v>
      </c>
      <c r="I558" s="389">
        <v>114054</v>
      </c>
      <c r="J558" s="388">
        <v>60596</v>
      </c>
      <c r="K558" s="390">
        <v>71851</v>
      </c>
      <c r="L558" s="381">
        <v>109651</v>
      </c>
      <c r="M558" s="388">
        <v>1002</v>
      </c>
      <c r="N558" s="388">
        <v>375</v>
      </c>
      <c r="O558" s="389">
        <v>121892</v>
      </c>
      <c r="P558" s="389">
        <v>1117</v>
      </c>
      <c r="Q558" s="390">
        <v>2948</v>
      </c>
      <c r="R558" s="381"/>
      <c r="S558" s="390"/>
      <c r="T558" s="383">
        <f t="shared" si="37"/>
        <v>0</v>
      </c>
      <c r="U558" s="384">
        <f t="shared" si="38"/>
        <v>0</v>
      </c>
      <c r="V558" s="388"/>
      <c r="W558" s="389"/>
      <c r="X558" s="391"/>
      <c r="Y558" s="390"/>
      <c r="Z558" s="381"/>
      <c r="AA558" s="388"/>
      <c r="AB558" s="388"/>
      <c r="AC558" s="389"/>
      <c r="AD558" s="389"/>
      <c r="AE558" s="392"/>
      <c r="AF558" s="381"/>
      <c r="AG558" s="389"/>
    </row>
    <row r="559" spans="1:33">
      <c r="A559" s="454" t="s">
        <v>438</v>
      </c>
      <c r="B559" s="453" t="s">
        <v>482</v>
      </c>
      <c r="C559" s="453"/>
      <c r="D559" s="454">
        <v>247834</v>
      </c>
      <c r="E559" s="408">
        <v>8</v>
      </c>
      <c r="F559" s="376">
        <f t="shared" si="35"/>
        <v>472245</v>
      </c>
      <c r="G559" s="377">
        <f t="shared" si="36"/>
        <v>528290</v>
      </c>
      <c r="H559" s="388">
        <v>425828</v>
      </c>
      <c r="I559" s="389">
        <v>461806</v>
      </c>
      <c r="J559" s="388">
        <v>3200</v>
      </c>
      <c r="K559" s="390">
        <v>3666</v>
      </c>
      <c r="L559" s="381">
        <v>43068</v>
      </c>
      <c r="M559" s="388">
        <v>0</v>
      </c>
      <c r="N559" s="388">
        <v>149</v>
      </c>
      <c r="O559" s="389">
        <v>61619</v>
      </c>
      <c r="P559" s="389">
        <v>0</v>
      </c>
      <c r="Q559" s="390">
        <v>1199</v>
      </c>
      <c r="R559" s="381"/>
      <c r="S559" s="390"/>
      <c r="T559" s="383">
        <f t="shared" si="37"/>
        <v>0</v>
      </c>
      <c r="U559" s="384">
        <f t="shared" si="38"/>
        <v>0</v>
      </c>
      <c r="V559" s="388"/>
      <c r="W559" s="389"/>
      <c r="X559" s="391"/>
      <c r="Y559" s="390"/>
      <c r="Z559" s="381"/>
      <c r="AA559" s="388"/>
      <c r="AB559" s="388"/>
      <c r="AC559" s="389"/>
      <c r="AD559" s="389"/>
      <c r="AE559" s="392"/>
      <c r="AF559" s="381"/>
      <c r="AG559" s="389"/>
    </row>
    <row r="560" spans="1:33">
      <c r="A560" s="454" t="s">
        <v>438</v>
      </c>
      <c r="B560" s="453" t="s">
        <v>483</v>
      </c>
      <c r="C560" s="453"/>
      <c r="D560" s="454">
        <v>224350</v>
      </c>
      <c r="E560" s="408">
        <v>8</v>
      </c>
      <c r="F560" s="376">
        <f t="shared" si="35"/>
        <v>221044</v>
      </c>
      <c r="G560" s="377">
        <f t="shared" si="36"/>
        <v>235688</v>
      </c>
      <c r="H560" s="388">
        <v>198145</v>
      </c>
      <c r="I560" s="389">
        <v>211095</v>
      </c>
      <c r="J560" s="388">
        <v>213</v>
      </c>
      <c r="K560" s="390">
        <v>2151</v>
      </c>
      <c r="L560" s="381">
        <v>22686</v>
      </c>
      <c r="M560" s="388">
        <v>0</v>
      </c>
      <c r="N560" s="388">
        <v>0</v>
      </c>
      <c r="O560" s="389">
        <v>22442</v>
      </c>
      <c r="P560" s="389">
        <v>0</v>
      </c>
      <c r="Q560" s="390">
        <v>0</v>
      </c>
      <c r="R560" s="381"/>
      <c r="S560" s="390"/>
      <c r="T560" s="383">
        <f t="shared" si="37"/>
        <v>0</v>
      </c>
      <c r="U560" s="384">
        <f t="shared" si="38"/>
        <v>0</v>
      </c>
      <c r="V560" s="388"/>
      <c r="W560" s="389"/>
      <c r="X560" s="391"/>
      <c r="Y560" s="390"/>
      <c r="Z560" s="381"/>
      <c r="AA560" s="388"/>
      <c r="AB560" s="388"/>
      <c r="AC560" s="389"/>
      <c r="AD560" s="389"/>
      <c r="AE560" s="392"/>
      <c r="AF560" s="381"/>
      <c r="AG560" s="389"/>
    </row>
    <row r="561" spans="1:33">
      <c r="A561" s="454" t="s">
        <v>438</v>
      </c>
      <c r="B561" s="453" t="s">
        <v>484</v>
      </c>
      <c r="C561" s="453"/>
      <c r="D561" s="454">
        <v>224572</v>
      </c>
      <c r="E561" s="408">
        <v>8</v>
      </c>
      <c r="F561" s="376">
        <f t="shared" si="35"/>
        <v>196928</v>
      </c>
      <c r="G561" s="377">
        <f t="shared" si="36"/>
        <v>224080</v>
      </c>
      <c r="H561" s="388">
        <v>152685</v>
      </c>
      <c r="I561" s="389">
        <v>171023</v>
      </c>
      <c r="J561" s="388">
        <v>0</v>
      </c>
      <c r="K561" s="390">
        <v>0</v>
      </c>
      <c r="L561" s="381">
        <v>42565</v>
      </c>
      <c r="M561" s="388">
        <v>0</v>
      </c>
      <c r="N561" s="388">
        <v>1678</v>
      </c>
      <c r="O561" s="389">
        <v>52613</v>
      </c>
      <c r="P561" s="389">
        <v>0</v>
      </c>
      <c r="Q561" s="390">
        <v>444</v>
      </c>
      <c r="R561" s="381"/>
      <c r="S561" s="390"/>
      <c r="T561" s="383">
        <f t="shared" si="37"/>
        <v>0</v>
      </c>
      <c r="U561" s="384">
        <f t="shared" si="38"/>
        <v>0</v>
      </c>
      <c r="V561" s="388"/>
      <c r="W561" s="389"/>
      <c r="X561" s="391"/>
      <c r="Y561" s="390"/>
      <c r="Z561" s="381"/>
      <c r="AA561" s="388"/>
      <c r="AB561" s="388"/>
      <c r="AC561" s="389"/>
      <c r="AD561" s="389"/>
      <c r="AE561" s="392"/>
      <c r="AF561" s="381"/>
      <c r="AG561" s="389"/>
    </row>
    <row r="562" spans="1:33">
      <c r="A562" s="454" t="s">
        <v>438</v>
      </c>
      <c r="B562" s="453" t="s">
        <v>485</v>
      </c>
      <c r="C562" s="453"/>
      <c r="D562" s="454">
        <v>224642</v>
      </c>
      <c r="E562" s="408">
        <v>8</v>
      </c>
      <c r="F562" s="376">
        <f t="shared" si="35"/>
        <v>513685</v>
      </c>
      <c r="G562" s="377">
        <f t="shared" si="36"/>
        <v>562559</v>
      </c>
      <c r="H562" s="388">
        <v>473687</v>
      </c>
      <c r="I562" s="389">
        <v>519506</v>
      </c>
      <c r="J562" s="388">
        <v>0</v>
      </c>
      <c r="K562" s="390">
        <v>0</v>
      </c>
      <c r="L562" s="381">
        <v>31398</v>
      </c>
      <c r="M562" s="388">
        <v>876</v>
      </c>
      <c r="N562" s="388">
        <v>7724</v>
      </c>
      <c r="O562" s="389">
        <v>39987</v>
      </c>
      <c r="P562" s="389">
        <v>669</v>
      </c>
      <c r="Q562" s="390">
        <v>2397</v>
      </c>
      <c r="R562" s="381"/>
      <c r="S562" s="390"/>
      <c r="T562" s="383">
        <f t="shared" si="37"/>
        <v>0</v>
      </c>
      <c r="U562" s="384">
        <f t="shared" si="38"/>
        <v>0</v>
      </c>
      <c r="V562" s="388"/>
      <c r="W562" s="389"/>
      <c r="X562" s="391"/>
      <c r="Y562" s="390"/>
      <c r="Z562" s="381"/>
      <c r="AA562" s="388"/>
      <c r="AB562" s="388"/>
      <c r="AC562" s="389"/>
      <c r="AD562" s="389"/>
      <c r="AE562" s="392"/>
      <c r="AF562" s="381"/>
      <c r="AG562" s="389"/>
    </row>
    <row r="563" spans="1:33">
      <c r="A563" s="454" t="s">
        <v>438</v>
      </c>
      <c r="B563" s="453" t="s">
        <v>486</v>
      </c>
      <c r="C563" s="453"/>
      <c r="D563" s="454">
        <v>225423</v>
      </c>
      <c r="E563" s="408">
        <v>8</v>
      </c>
      <c r="F563" s="376">
        <f t="shared" si="35"/>
        <v>981244</v>
      </c>
      <c r="G563" s="377">
        <f t="shared" si="36"/>
        <v>1158629</v>
      </c>
      <c r="H563" s="388">
        <v>631291</v>
      </c>
      <c r="I563" s="389">
        <v>730109</v>
      </c>
      <c r="J563" s="388">
        <v>178566</v>
      </c>
      <c r="K563" s="390">
        <v>208557</v>
      </c>
      <c r="L563" s="381">
        <v>170300</v>
      </c>
      <c r="M563" s="388">
        <v>0</v>
      </c>
      <c r="N563" s="388">
        <v>1087</v>
      </c>
      <c r="O563" s="389">
        <v>219483</v>
      </c>
      <c r="P563" s="389">
        <v>0</v>
      </c>
      <c r="Q563" s="390">
        <v>480</v>
      </c>
      <c r="R563" s="381"/>
      <c r="S563" s="390"/>
      <c r="T563" s="383">
        <f t="shared" si="37"/>
        <v>0</v>
      </c>
      <c r="U563" s="384">
        <f t="shared" si="38"/>
        <v>0</v>
      </c>
      <c r="V563" s="388"/>
      <c r="W563" s="389"/>
      <c r="X563" s="391"/>
      <c r="Y563" s="390"/>
      <c r="Z563" s="381"/>
      <c r="AA563" s="388"/>
      <c r="AB563" s="388"/>
      <c r="AC563" s="389"/>
      <c r="AD563" s="389"/>
      <c r="AE563" s="392"/>
      <c r="AF563" s="381"/>
      <c r="AG563" s="389"/>
    </row>
    <row r="564" spans="1:33">
      <c r="A564" s="454" t="s">
        <v>438</v>
      </c>
      <c r="B564" s="453" t="s">
        <v>487</v>
      </c>
      <c r="C564" s="453"/>
      <c r="D564" s="454">
        <v>226134</v>
      </c>
      <c r="E564" s="408">
        <v>8</v>
      </c>
      <c r="F564" s="376">
        <f t="shared" si="35"/>
        <v>173580</v>
      </c>
      <c r="G564" s="377">
        <f t="shared" si="36"/>
        <v>190762</v>
      </c>
      <c r="H564" s="388">
        <v>149861</v>
      </c>
      <c r="I564" s="389">
        <v>164637</v>
      </c>
      <c r="J564" s="388">
        <v>0</v>
      </c>
      <c r="K564" s="390">
        <v>0</v>
      </c>
      <c r="L564" s="381">
        <v>23719</v>
      </c>
      <c r="M564" s="388">
        <v>0</v>
      </c>
      <c r="N564" s="388">
        <v>0</v>
      </c>
      <c r="O564" s="389">
        <v>25981</v>
      </c>
      <c r="P564" s="389">
        <v>144</v>
      </c>
      <c r="Q564" s="390">
        <v>0</v>
      </c>
      <c r="R564" s="381"/>
      <c r="S564" s="390"/>
      <c r="T564" s="383">
        <f t="shared" si="37"/>
        <v>0</v>
      </c>
      <c r="U564" s="384">
        <f t="shared" si="38"/>
        <v>0</v>
      </c>
      <c r="V564" s="388"/>
      <c r="W564" s="389"/>
      <c r="X564" s="391"/>
      <c r="Y564" s="390"/>
      <c r="Z564" s="381"/>
      <c r="AA564" s="388"/>
      <c r="AB564" s="388"/>
      <c r="AC564" s="389"/>
      <c r="AD564" s="389"/>
      <c r="AE564" s="392"/>
      <c r="AF564" s="381"/>
      <c r="AG564" s="389"/>
    </row>
    <row r="565" spans="1:33">
      <c r="A565" s="454" t="s">
        <v>438</v>
      </c>
      <c r="B565" s="453" t="s">
        <v>488</v>
      </c>
      <c r="C565" s="453"/>
      <c r="D565" s="454">
        <v>227182</v>
      </c>
      <c r="E565" s="410">
        <v>8</v>
      </c>
      <c r="F565" s="376">
        <f t="shared" si="35"/>
        <v>916488</v>
      </c>
      <c r="G565" s="377">
        <f t="shared" si="36"/>
        <v>1101211</v>
      </c>
      <c r="H565" s="388">
        <v>758146</v>
      </c>
      <c r="I565" s="389">
        <v>897457</v>
      </c>
      <c r="J565" s="388">
        <v>1960</v>
      </c>
      <c r="K565" s="390">
        <v>1849</v>
      </c>
      <c r="L565" s="381">
        <v>152895</v>
      </c>
      <c r="M565" s="388">
        <v>0</v>
      </c>
      <c r="N565" s="388">
        <v>3487</v>
      </c>
      <c r="O565" s="389">
        <v>199783</v>
      </c>
      <c r="P565" s="389">
        <v>0</v>
      </c>
      <c r="Q565" s="390">
        <v>2122</v>
      </c>
      <c r="R565" s="381"/>
      <c r="S565" s="390"/>
      <c r="T565" s="383">
        <f t="shared" si="37"/>
        <v>0</v>
      </c>
      <c r="U565" s="384">
        <f t="shared" si="38"/>
        <v>0</v>
      </c>
      <c r="V565" s="388"/>
      <c r="W565" s="389"/>
      <c r="X565" s="391"/>
      <c r="Y565" s="390"/>
      <c r="Z565" s="381"/>
      <c r="AA565" s="388"/>
      <c r="AB565" s="388"/>
      <c r="AC565" s="389"/>
      <c r="AD565" s="389"/>
      <c r="AE565" s="392"/>
      <c r="AF565" s="381"/>
      <c r="AG565" s="389"/>
    </row>
    <row r="566" spans="1:33">
      <c r="A566" s="454" t="s">
        <v>438</v>
      </c>
      <c r="B566" s="453" t="s">
        <v>512</v>
      </c>
      <c r="C566" s="453"/>
      <c r="D566" s="454">
        <v>226578</v>
      </c>
      <c r="E566" s="410">
        <v>8</v>
      </c>
      <c r="F566" s="376">
        <f t="shared" si="35"/>
        <v>190774</v>
      </c>
      <c r="G566" s="377">
        <f t="shared" si="36"/>
        <v>217294</v>
      </c>
      <c r="H566" s="388">
        <v>147742</v>
      </c>
      <c r="I566" s="389">
        <v>162240</v>
      </c>
      <c r="J566" s="388">
        <v>54</v>
      </c>
      <c r="K566" s="390">
        <v>15</v>
      </c>
      <c r="L566" s="381">
        <v>41808</v>
      </c>
      <c r="M566" s="388">
        <v>1170</v>
      </c>
      <c r="N566" s="388">
        <v>0</v>
      </c>
      <c r="O566" s="389">
        <v>54387</v>
      </c>
      <c r="P566" s="389">
        <v>652</v>
      </c>
      <c r="Q566" s="390">
        <v>0</v>
      </c>
      <c r="R566" s="381"/>
      <c r="S566" s="390"/>
      <c r="T566" s="383">
        <f t="shared" si="37"/>
        <v>0</v>
      </c>
      <c r="U566" s="384">
        <f t="shared" si="38"/>
        <v>0</v>
      </c>
      <c r="V566" s="388"/>
      <c r="W566" s="389"/>
      <c r="X566" s="391"/>
      <c r="Y566" s="390"/>
      <c r="Z566" s="381"/>
      <c r="AA566" s="388"/>
      <c r="AB566" s="388"/>
      <c r="AC566" s="389"/>
      <c r="AD566" s="389"/>
      <c r="AE566" s="392"/>
      <c r="AF566" s="381"/>
      <c r="AG566" s="389"/>
    </row>
    <row r="567" spans="1:33">
      <c r="A567" s="454" t="s">
        <v>438</v>
      </c>
      <c r="B567" s="491" t="s">
        <v>489</v>
      </c>
      <c r="C567" s="491"/>
      <c r="D567" s="489">
        <v>227146</v>
      </c>
      <c r="E567" s="492">
        <v>8</v>
      </c>
      <c r="F567" s="376">
        <f t="shared" si="35"/>
        <v>199058</v>
      </c>
      <c r="G567" s="377">
        <f t="shared" si="36"/>
        <v>233297</v>
      </c>
      <c r="H567" s="388">
        <v>71510</v>
      </c>
      <c r="I567" s="389">
        <v>77375</v>
      </c>
      <c r="J567" s="388">
        <v>77002</v>
      </c>
      <c r="K567" s="390">
        <v>90051</v>
      </c>
      <c r="L567" s="381">
        <v>46232</v>
      </c>
      <c r="M567" s="388">
        <v>0</v>
      </c>
      <c r="N567" s="388">
        <v>4314</v>
      </c>
      <c r="O567" s="389">
        <v>61700</v>
      </c>
      <c r="P567" s="389">
        <v>30</v>
      </c>
      <c r="Q567" s="390">
        <v>4141</v>
      </c>
      <c r="R567" s="381"/>
      <c r="S567" s="390"/>
      <c r="T567" s="383">
        <f t="shared" si="37"/>
        <v>0</v>
      </c>
      <c r="U567" s="384">
        <f t="shared" si="38"/>
        <v>0</v>
      </c>
      <c r="V567" s="388"/>
      <c r="W567" s="389"/>
      <c r="X567" s="391"/>
      <c r="Y567" s="390"/>
      <c r="Z567" s="381"/>
      <c r="AA567" s="388"/>
      <c r="AB567" s="388"/>
      <c r="AC567" s="389"/>
      <c r="AD567" s="389"/>
      <c r="AE567" s="392"/>
      <c r="AF567" s="381"/>
      <c r="AG567" s="389"/>
    </row>
    <row r="568" spans="1:33">
      <c r="A568" s="454" t="s">
        <v>438</v>
      </c>
      <c r="B568" s="453" t="s">
        <v>490</v>
      </c>
      <c r="C568" s="453"/>
      <c r="D568" s="454">
        <v>227191</v>
      </c>
      <c r="E568" s="408">
        <v>8</v>
      </c>
      <c r="F568" s="376">
        <f t="shared" si="35"/>
        <v>194742</v>
      </c>
      <c r="G568" s="377">
        <f t="shared" si="36"/>
        <v>205951</v>
      </c>
      <c r="H568" s="388">
        <v>152331</v>
      </c>
      <c r="I568" s="389">
        <v>154828</v>
      </c>
      <c r="J568" s="388">
        <v>3053</v>
      </c>
      <c r="K568" s="390">
        <v>3514</v>
      </c>
      <c r="L568" s="381">
        <v>38965</v>
      </c>
      <c r="M568" s="388">
        <v>0</v>
      </c>
      <c r="N568" s="388">
        <v>393</v>
      </c>
      <c r="O568" s="389">
        <v>47477</v>
      </c>
      <c r="P568" s="389">
        <v>0</v>
      </c>
      <c r="Q568" s="390">
        <v>132</v>
      </c>
      <c r="R568" s="381"/>
      <c r="S568" s="390"/>
      <c r="T568" s="383">
        <f t="shared" si="37"/>
        <v>0</v>
      </c>
      <c r="U568" s="384">
        <f t="shared" si="38"/>
        <v>0</v>
      </c>
      <c r="V568" s="388"/>
      <c r="W568" s="389"/>
      <c r="X568" s="391"/>
      <c r="Y568" s="390"/>
      <c r="Z568" s="381"/>
      <c r="AA568" s="388"/>
      <c r="AB568" s="388"/>
      <c r="AC568" s="389"/>
      <c r="AD568" s="389"/>
      <c r="AE568" s="392"/>
      <c r="AF568" s="381"/>
      <c r="AG568" s="389"/>
    </row>
    <row r="569" spans="1:33">
      <c r="A569" s="454" t="s">
        <v>438</v>
      </c>
      <c r="B569" s="453" t="s">
        <v>491</v>
      </c>
      <c r="C569" s="453"/>
      <c r="D569" s="454">
        <v>420398</v>
      </c>
      <c r="E569" s="408">
        <v>8</v>
      </c>
      <c r="F569" s="376">
        <f t="shared" si="35"/>
        <v>258060</v>
      </c>
      <c r="G569" s="377">
        <f t="shared" si="36"/>
        <v>295874</v>
      </c>
      <c r="H569" s="388">
        <v>237149</v>
      </c>
      <c r="I569" s="389">
        <v>267567</v>
      </c>
      <c r="J569" s="388">
        <v>0</v>
      </c>
      <c r="K569" s="390">
        <v>0</v>
      </c>
      <c r="L569" s="381">
        <v>20557</v>
      </c>
      <c r="M569" s="388">
        <v>0</v>
      </c>
      <c r="N569" s="388">
        <v>354</v>
      </c>
      <c r="O569" s="389">
        <v>26262</v>
      </c>
      <c r="P569" s="389">
        <v>0</v>
      </c>
      <c r="Q569" s="390">
        <v>2045</v>
      </c>
      <c r="R569" s="381"/>
      <c r="S569" s="390"/>
      <c r="T569" s="383">
        <f t="shared" si="37"/>
        <v>0</v>
      </c>
      <c r="U569" s="384">
        <f t="shared" si="38"/>
        <v>0</v>
      </c>
      <c r="V569" s="388"/>
      <c r="W569" s="389"/>
      <c r="X569" s="391"/>
      <c r="Y569" s="390"/>
      <c r="Z569" s="381"/>
      <c r="AA569" s="388"/>
      <c r="AB569" s="388"/>
      <c r="AC569" s="389"/>
      <c r="AD569" s="389"/>
      <c r="AE569" s="392"/>
      <c r="AF569" s="381"/>
      <c r="AG569" s="389"/>
    </row>
    <row r="570" spans="1:33">
      <c r="A570" s="454" t="s">
        <v>438</v>
      </c>
      <c r="B570" s="453" t="s">
        <v>492</v>
      </c>
      <c r="C570" s="453"/>
      <c r="D570" s="454">
        <v>246354</v>
      </c>
      <c r="E570" s="408">
        <v>8</v>
      </c>
      <c r="F570" s="376">
        <f t="shared" si="35"/>
        <v>159901</v>
      </c>
      <c r="G570" s="377">
        <f t="shared" si="36"/>
        <v>165105</v>
      </c>
      <c r="H570" s="388">
        <v>130224</v>
      </c>
      <c r="I570" s="389">
        <v>134898</v>
      </c>
      <c r="J570" s="388">
        <v>114</v>
      </c>
      <c r="K570" s="390">
        <v>93</v>
      </c>
      <c r="L570" s="381">
        <v>26515</v>
      </c>
      <c r="M570" s="388">
        <v>960</v>
      </c>
      <c r="N570" s="388">
        <v>2088</v>
      </c>
      <c r="O570" s="389">
        <v>27177</v>
      </c>
      <c r="P570" s="389">
        <v>1035</v>
      </c>
      <c r="Q570" s="390">
        <v>1902</v>
      </c>
      <c r="R570" s="381"/>
      <c r="S570" s="390"/>
      <c r="T570" s="383">
        <f t="shared" si="37"/>
        <v>0</v>
      </c>
      <c r="U570" s="384">
        <f t="shared" si="38"/>
        <v>0</v>
      </c>
      <c r="V570" s="388"/>
      <c r="W570" s="389"/>
      <c r="X570" s="391"/>
      <c r="Y570" s="390"/>
      <c r="Z570" s="381"/>
      <c r="AA570" s="388"/>
      <c r="AB570" s="388"/>
      <c r="AC570" s="389"/>
      <c r="AD570" s="389"/>
      <c r="AE570" s="392"/>
      <c r="AF570" s="381"/>
      <c r="AG570" s="389"/>
    </row>
    <row r="571" spans="1:33">
      <c r="A571" s="454" t="s">
        <v>438</v>
      </c>
      <c r="B571" s="453" t="s">
        <v>493</v>
      </c>
      <c r="C571" s="453"/>
      <c r="D571" s="454">
        <v>227766</v>
      </c>
      <c r="E571" s="408">
        <v>8</v>
      </c>
      <c r="F571" s="376">
        <f t="shared" si="35"/>
        <v>319106</v>
      </c>
      <c r="G571" s="377">
        <f t="shared" si="36"/>
        <v>350074</v>
      </c>
      <c r="H571" s="388">
        <v>245359</v>
      </c>
      <c r="I571" s="389">
        <v>258961</v>
      </c>
      <c r="J571" s="388">
        <v>0</v>
      </c>
      <c r="K571" s="390">
        <v>0</v>
      </c>
      <c r="L571" s="381">
        <v>73699</v>
      </c>
      <c r="M571" s="388">
        <v>0</v>
      </c>
      <c r="N571" s="388">
        <v>48</v>
      </c>
      <c r="O571" s="389">
        <v>91113</v>
      </c>
      <c r="P571" s="389">
        <v>0</v>
      </c>
      <c r="Q571" s="390">
        <v>0</v>
      </c>
      <c r="R571" s="381"/>
      <c r="S571" s="390"/>
      <c r="T571" s="383">
        <f t="shared" si="37"/>
        <v>0</v>
      </c>
      <c r="U571" s="384">
        <f t="shared" si="38"/>
        <v>0</v>
      </c>
      <c r="V571" s="388"/>
      <c r="W571" s="389"/>
      <c r="X571" s="391"/>
      <c r="Y571" s="390"/>
      <c r="Z571" s="381"/>
      <c r="AA571" s="388"/>
      <c r="AB571" s="388"/>
      <c r="AC571" s="389"/>
      <c r="AD571" s="389"/>
      <c r="AE571" s="392"/>
      <c r="AF571" s="381"/>
      <c r="AG571" s="389"/>
    </row>
    <row r="572" spans="1:33">
      <c r="A572" s="454" t="s">
        <v>438</v>
      </c>
      <c r="B572" s="453" t="s">
        <v>494</v>
      </c>
      <c r="C572" s="453"/>
      <c r="D572" s="454">
        <v>227924</v>
      </c>
      <c r="E572" s="408">
        <v>8</v>
      </c>
      <c r="F572" s="376">
        <f t="shared" si="35"/>
        <v>469305</v>
      </c>
      <c r="G572" s="377">
        <f t="shared" si="36"/>
        <v>501465</v>
      </c>
      <c r="H572" s="388">
        <v>399647</v>
      </c>
      <c r="I572" s="389">
        <v>428816</v>
      </c>
      <c r="J572" s="388">
        <v>5565</v>
      </c>
      <c r="K572" s="390">
        <v>3658</v>
      </c>
      <c r="L572" s="381">
        <v>61276</v>
      </c>
      <c r="M572" s="388">
        <v>190</v>
      </c>
      <c r="N572" s="388">
        <v>2627</v>
      </c>
      <c r="O572" s="389">
        <v>65514</v>
      </c>
      <c r="P572" s="389">
        <v>0</v>
      </c>
      <c r="Q572" s="390">
        <v>3477</v>
      </c>
      <c r="R572" s="381"/>
      <c r="S572" s="390"/>
      <c r="T572" s="383">
        <f t="shared" si="37"/>
        <v>0</v>
      </c>
      <c r="U572" s="384">
        <f t="shared" si="38"/>
        <v>0</v>
      </c>
      <c r="V572" s="388"/>
      <c r="W572" s="389"/>
      <c r="X572" s="391"/>
      <c r="Y572" s="390"/>
      <c r="Z572" s="381"/>
      <c r="AA572" s="388"/>
      <c r="AB572" s="388"/>
      <c r="AC572" s="389"/>
      <c r="AD572" s="389"/>
      <c r="AE572" s="392"/>
      <c r="AF572" s="381"/>
      <c r="AG572" s="389"/>
    </row>
    <row r="573" spans="1:33">
      <c r="A573" s="454" t="s">
        <v>438</v>
      </c>
      <c r="B573" s="453" t="s">
        <v>495</v>
      </c>
      <c r="C573" s="453"/>
      <c r="D573" s="454">
        <v>227979</v>
      </c>
      <c r="E573" s="408">
        <v>8</v>
      </c>
      <c r="F573" s="376">
        <f t="shared" si="35"/>
        <v>523177</v>
      </c>
      <c r="G573" s="377">
        <f t="shared" si="36"/>
        <v>575097</v>
      </c>
      <c r="H573" s="388">
        <v>447171</v>
      </c>
      <c r="I573" s="389">
        <v>489108</v>
      </c>
      <c r="J573" s="388">
        <v>9791</v>
      </c>
      <c r="K573" s="390">
        <v>11218</v>
      </c>
      <c r="L573" s="381">
        <v>65997</v>
      </c>
      <c r="M573" s="388">
        <v>218</v>
      </c>
      <c r="N573" s="388">
        <v>0</v>
      </c>
      <c r="O573" s="389">
        <v>74372</v>
      </c>
      <c r="P573" s="389">
        <v>399</v>
      </c>
      <c r="Q573" s="390">
        <v>0</v>
      </c>
      <c r="R573" s="381"/>
      <c r="S573" s="390"/>
      <c r="T573" s="383">
        <f t="shared" si="37"/>
        <v>0</v>
      </c>
      <c r="U573" s="384">
        <f t="shared" si="38"/>
        <v>0</v>
      </c>
      <c r="V573" s="388"/>
      <c r="W573" s="389"/>
      <c r="X573" s="391"/>
      <c r="Y573" s="390"/>
      <c r="Z573" s="381"/>
      <c r="AA573" s="388"/>
      <c r="AB573" s="388"/>
      <c r="AC573" s="389"/>
      <c r="AD573" s="389"/>
      <c r="AE573" s="392"/>
      <c r="AF573" s="381"/>
      <c r="AG573" s="389"/>
    </row>
    <row r="574" spans="1:33">
      <c r="A574" s="454" t="s">
        <v>438</v>
      </c>
      <c r="B574" s="453" t="s">
        <v>496</v>
      </c>
      <c r="C574" s="453"/>
      <c r="D574" s="454">
        <v>228158</v>
      </c>
      <c r="E574" s="408">
        <v>8</v>
      </c>
      <c r="F574" s="376">
        <f t="shared" si="35"/>
        <v>203280</v>
      </c>
      <c r="G574" s="377">
        <f t="shared" si="36"/>
        <v>217039</v>
      </c>
      <c r="H574" s="388">
        <v>89758</v>
      </c>
      <c r="I574" s="389">
        <v>94485</v>
      </c>
      <c r="J574" s="388">
        <v>79083</v>
      </c>
      <c r="K574" s="390">
        <v>84031</v>
      </c>
      <c r="L574" s="381">
        <v>28958</v>
      </c>
      <c r="M574" s="388">
        <v>4082</v>
      </c>
      <c r="N574" s="388">
        <v>1399</v>
      </c>
      <c r="O574" s="389">
        <v>31816</v>
      </c>
      <c r="P574" s="389">
        <v>3245</v>
      </c>
      <c r="Q574" s="390">
        <v>3462</v>
      </c>
      <c r="R574" s="381"/>
      <c r="S574" s="390"/>
      <c r="T574" s="383">
        <f t="shared" si="37"/>
        <v>0</v>
      </c>
      <c r="U574" s="384">
        <f t="shared" si="38"/>
        <v>0</v>
      </c>
      <c r="V574" s="388"/>
      <c r="W574" s="389"/>
      <c r="X574" s="391"/>
      <c r="Y574" s="390"/>
      <c r="Z574" s="381"/>
      <c r="AA574" s="388"/>
      <c r="AB574" s="388"/>
      <c r="AC574" s="389"/>
      <c r="AD574" s="389"/>
      <c r="AE574" s="392"/>
      <c r="AF574" s="381"/>
      <c r="AG574" s="389"/>
    </row>
    <row r="575" spans="1:33">
      <c r="A575" s="454" t="s">
        <v>438</v>
      </c>
      <c r="B575" s="453" t="s">
        <v>497</v>
      </c>
      <c r="C575" s="453"/>
      <c r="D575" s="454">
        <v>227854</v>
      </c>
      <c r="E575" s="408">
        <v>8</v>
      </c>
      <c r="F575" s="376">
        <f t="shared" si="35"/>
        <v>213961</v>
      </c>
      <c r="G575" s="377">
        <f t="shared" si="36"/>
        <v>218515</v>
      </c>
      <c r="H575" s="388">
        <v>187535</v>
      </c>
      <c r="I575" s="389">
        <v>183707</v>
      </c>
      <c r="J575" s="388">
        <v>2039</v>
      </c>
      <c r="K575" s="390">
        <v>1414</v>
      </c>
      <c r="L575" s="381">
        <v>22904</v>
      </c>
      <c r="M575" s="388">
        <v>0</v>
      </c>
      <c r="N575" s="388">
        <v>1483</v>
      </c>
      <c r="O575" s="389">
        <v>31378</v>
      </c>
      <c r="P575" s="389">
        <v>0</v>
      </c>
      <c r="Q575" s="390">
        <v>2016</v>
      </c>
      <c r="R575" s="381"/>
      <c r="S575" s="390"/>
      <c r="T575" s="383">
        <f t="shared" si="37"/>
        <v>0</v>
      </c>
      <c r="U575" s="384">
        <f t="shared" si="38"/>
        <v>0</v>
      </c>
      <c r="V575" s="388"/>
      <c r="W575" s="389"/>
      <c r="X575" s="391"/>
      <c r="Y575" s="390"/>
      <c r="Z575" s="381"/>
      <c r="AA575" s="388"/>
      <c r="AB575" s="388"/>
      <c r="AC575" s="389"/>
      <c r="AD575" s="389"/>
      <c r="AE575" s="392"/>
      <c r="AF575" s="381"/>
      <c r="AG575" s="389"/>
    </row>
    <row r="576" spans="1:33">
      <c r="A576" s="454" t="s">
        <v>438</v>
      </c>
      <c r="B576" s="453" t="s">
        <v>498</v>
      </c>
      <c r="C576" s="453"/>
      <c r="D576" s="454">
        <v>228547</v>
      </c>
      <c r="E576" s="408">
        <v>8</v>
      </c>
      <c r="F576" s="376">
        <f t="shared" si="35"/>
        <v>827822</v>
      </c>
      <c r="G576" s="377">
        <f t="shared" si="36"/>
        <v>968654</v>
      </c>
      <c r="H576" s="388">
        <v>697953</v>
      </c>
      <c r="I576" s="389">
        <v>797438</v>
      </c>
      <c r="J576" s="388">
        <v>165</v>
      </c>
      <c r="K576" s="390">
        <v>222</v>
      </c>
      <c r="L576" s="381">
        <v>103707</v>
      </c>
      <c r="M576" s="388">
        <v>0</v>
      </c>
      <c r="N576" s="388">
        <v>25997</v>
      </c>
      <c r="O576" s="389">
        <v>146199</v>
      </c>
      <c r="P576" s="389">
        <v>0</v>
      </c>
      <c r="Q576" s="390">
        <v>24795</v>
      </c>
      <c r="R576" s="381"/>
      <c r="S576" s="390"/>
      <c r="T576" s="383">
        <f t="shared" si="37"/>
        <v>0</v>
      </c>
      <c r="U576" s="384">
        <f t="shared" si="38"/>
        <v>0</v>
      </c>
      <c r="V576" s="388"/>
      <c r="W576" s="389"/>
      <c r="X576" s="391"/>
      <c r="Y576" s="390"/>
      <c r="Z576" s="381"/>
      <c r="AA576" s="388"/>
      <c r="AB576" s="388"/>
      <c r="AC576" s="389"/>
      <c r="AD576" s="389"/>
      <c r="AE576" s="392"/>
      <c r="AF576" s="381"/>
      <c r="AG576" s="389"/>
    </row>
    <row r="577" spans="1:33">
      <c r="A577" s="454" t="s">
        <v>438</v>
      </c>
      <c r="B577" s="453" t="s">
        <v>499</v>
      </c>
      <c r="C577" s="453"/>
      <c r="D577" s="454">
        <v>229072</v>
      </c>
      <c r="E577" s="408">
        <v>8</v>
      </c>
      <c r="F577" s="376">
        <f t="shared" si="35"/>
        <v>181275</v>
      </c>
      <c r="G577" s="377">
        <f t="shared" si="36"/>
        <v>190606</v>
      </c>
      <c r="H577" s="388">
        <v>169866</v>
      </c>
      <c r="I577" s="389">
        <v>178372</v>
      </c>
      <c r="J577" s="388">
        <v>6017</v>
      </c>
      <c r="K577" s="390">
        <v>3997</v>
      </c>
      <c r="L577" s="381">
        <v>5392</v>
      </c>
      <c r="M577" s="388">
        <v>0</v>
      </c>
      <c r="N577" s="388">
        <v>0</v>
      </c>
      <c r="O577" s="389">
        <v>8237</v>
      </c>
      <c r="P577" s="389">
        <v>0</v>
      </c>
      <c r="Q577" s="390">
        <v>0</v>
      </c>
      <c r="R577" s="381"/>
      <c r="S577" s="390"/>
      <c r="T577" s="383">
        <f t="shared" si="37"/>
        <v>0</v>
      </c>
      <c r="U577" s="384">
        <f t="shared" si="38"/>
        <v>0</v>
      </c>
      <c r="V577" s="388"/>
      <c r="W577" s="389"/>
      <c r="X577" s="391"/>
      <c r="Y577" s="390"/>
      <c r="Z577" s="381"/>
      <c r="AA577" s="388"/>
      <c r="AB577" s="388"/>
      <c r="AC577" s="389"/>
      <c r="AD577" s="389"/>
      <c r="AE577" s="392"/>
      <c r="AF577" s="381"/>
      <c r="AG577" s="389"/>
    </row>
    <row r="578" spans="1:33">
      <c r="A578" s="454" t="s">
        <v>438</v>
      </c>
      <c r="B578" s="453" t="s">
        <v>500</v>
      </c>
      <c r="C578" s="453"/>
      <c r="D578" s="454">
        <v>229355</v>
      </c>
      <c r="E578" s="408">
        <v>8</v>
      </c>
      <c r="F578" s="376">
        <f t="shared" si="35"/>
        <v>235827</v>
      </c>
      <c r="G578" s="377">
        <f t="shared" si="36"/>
        <v>259168</v>
      </c>
      <c r="H578" s="388">
        <v>190362</v>
      </c>
      <c r="I578" s="389">
        <v>206336</v>
      </c>
      <c r="J578" s="388">
        <v>1981</v>
      </c>
      <c r="K578" s="390">
        <v>0</v>
      </c>
      <c r="L578" s="381">
        <v>41882</v>
      </c>
      <c r="M578" s="388">
        <v>0</v>
      </c>
      <c r="N578" s="388">
        <v>1602</v>
      </c>
      <c r="O578" s="389">
        <v>51977</v>
      </c>
      <c r="P578" s="389">
        <v>0</v>
      </c>
      <c r="Q578" s="390">
        <v>855</v>
      </c>
      <c r="R578" s="381"/>
      <c r="S578" s="390"/>
      <c r="T578" s="383">
        <f t="shared" si="37"/>
        <v>0</v>
      </c>
      <c r="U578" s="384">
        <f t="shared" si="38"/>
        <v>0</v>
      </c>
      <c r="V578" s="388"/>
      <c r="W578" s="389"/>
      <c r="X578" s="391"/>
      <c r="Y578" s="390"/>
      <c r="Z578" s="381"/>
      <c r="AA578" s="388"/>
      <c r="AB578" s="388"/>
      <c r="AC578" s="389"/>
      <c r="AD578" s="389"/>
      <c r="AE578" s="392"/>
      <c r="AF578" s="381"/>
      <c r="AG578" s="389"/>
    </row>
    <row r="579" spans="1:33">
      <c r="A579" s="454" t="s">
        <v>438</v>
      </c>
      <c r="B579" s="453" t="s">
        <v>501</v>
      </c>
      <c r="C579" s="453"/>
      <c r="D579" s="454">
        <v>222567</v>
      </c>
      <c r="E579" s="408">
        <v>9</v>
      </c>
      <c r="F579" s="376">
        <f t="shared" si="35"/>
        <v>100838</v>
      </c>
      <c r="G579" s="377">
        <f t="shared" si="36"/>
        <v>111467</v>
      </c>
      <c r="H579" s="388">
        <v>83665</v>
      </c>
      <c r="I579" s="389">
        <v>93297</v>
      </c>
      <c r="J579" s="388">
        <v>17173</v>
      </c>
      <c r="K579" s="390">
        <v>18170</v>
      </c>
      <c r="L579" s="381">
        <v>0</v>
      </c>
      <c r="M579" s="388">
        <v>0</v>
      </c>
      <c r="N579" s="388">
        <v>0</v>
      </c>
      <c r="O579" s="389">
        <v>0</v>
      </c>
      <c r="P579" s="389">
        <v>0</v>
      </c>
      <c r="Q579" s="390">
        <v>0</v>
      </c>
      <c r="R579" s="381"/>
      <c r="S579" s="390"/>
      <c r="T579" s="383">
        <f t="shared" si="37"/>
        <v>0</v>
      </c>
      <c r="U579" s="384">
        <f t="shared" si="38"/>
        <v>0</v>
      </c>
      <c r="V579" s="388"/>
      <c r="W579" s="389"/>
      <c r="X579" s="391"/>
      <c r="Y579" s="390"/>
      <c r="Z579" s="381"/>
      <c r="AA579" s="388"/>
      <c r="AB579" s="388"/>
      <c r="AC579" s="389"/>
      <c r="AD579" s="389"/>
      <c r="AE579" s="392"/>
      <c r="AF579" s="381"/>
      <c r="AG579" s="389"/>
    </row>
    <row r="580" spans="1:33">
      <c r="A580" s="454" t="s">
        <v>438</v>
      </c>
      <c r="B580" s="453" t="s">
        <v>502</v>
      </c>
      <c r="C580" s="453"/>
      <c r="D580" s="454">
        <v>222822</v>
      </c>
      <c r="E580" s="408">
        <v>9</v>
      </c>
      <c r="F580" s="376">
        <f t="shared" si="35"/>
        <v>100867</v>
      </c>
      <c r="G580" s="377">
        <f t="shared" si="36"/>
        <v>114278</v>
      </c>
      <c r="H580" s="388">
        <v>72328</v>
      </c>
      <c r="I580" s="389">
        <v>79774</v>
      </c>
      <c r="J580" s="388">
        <v>11534</v>
      </c>
      <c r="K580" s="390">
        <v>13147</v>
      </c>
      <c r="L580" s="381">
        <v>10806</v>
      </c>
      <c r="M580" s="388">
        <v>6199</v>
      </c>
      <c r="N580" s="388">
        <v>0</v>
      </c>
      <c r="O580" s="389">
        <v>14636</v>
      </c>
      <c r="P580" s="389">
        <v>6676</v>
      </c>
      <c r="Q580" s="390">
        <v>45</v>
      </c>
      <c r="R580" s="381"/>
      <c r="S580" s="390"/>
      <c r="T580" s="383">
        <f t="shared" si="37"/>
        <v>0</v>
      </c>
      <c r="U580" s="384">
        <f t="shared" si="38"/>
        <v>0</v>
      </c>
      <c r="V580" s="388"/>
      <c r="W580" s="389"/>
      <c r="X580" s="391"/>
      <c r="Y580" s="390"/>
      <c r="Z580" s="381"/>
      <c r="AA580" s="388"/>
      <c r="AB580" s="388"/>
      <c r="AC580" s="389"/>
      <c r="AD580" s="389"/>
      <c r="AE580" s="392"/>
      <c r="AF580" s="381"/>
      <c r="AG580" s="389"/>
    </row>
    <row r="581" spans="1:33">
      <c r="A581" s="454" t="s">
        <v>438</v>
      </c>
      <c r="B581" s="453" t="s">
        <v>503</v>
      </c>
      <c r="C581" s="453"/>
      <c r="D581" s="454">
        <v>223773</v>
      </c>
      <c r="E581" s="408">
        <v>9</v>
      </c>
      <c r="F581" s="376">
        <f t="shared" si="35"/>
        <v>99997</v>
      </c>
      <c r="G581" s="377">
        <f t="shared" si="36"/>
        <v>110642</v>
      </c>
      <c r="H581" s="388">
        <v>65892</v>
      </c>
      <c r="I581" s="389">
        <v>73303</v>
      </c>
      <c r="J581" s="388">
        <v>1816</v>
      </c>
      <c r="K581" s="390">
        <v>1243</v>
      </c>
      <c r="L581" s="381">
        <v>32196</v>
      </c>
      <c r="M581" s="388">
        <v>0</v>
      </c>
      <c r="N581" s="388">
        <v>93</v>
      </c>
      <c r="O581" s="389">
        <v>36096</v>
      </c>
      <c r="P581" s="389">
        <v>0</v>
      </c>
      <c r="Q581" s="390">
        <v>0</v>
      </c>
      <c r="R581" s="381"/>
      <c r="S581" s="390"/>
      <c r="T581" s="383">
        <f t="shared" si="37"/>
        <v>0</v>
      </c>
      <c r="U581" s="384">
        <f t="shared" si="38"/>
        <v>0</v>
      </c>
      <c r="V581" s="388"/>
      <c r="W581" s="389"/>
      <c r="X581" s="391"/>
      <c r="Y581" s="390"/>
      <c r="Z581" s="381"/>
      <c r="AA581" s="388"/>
      <c r="AB581" s="388"/>
      <c r="AC581" s="389"/>
      <c r="AD581" s="389"/>
      <c r="AE581" s="392"/>
      <c r="AF581" s="381"/>
      <c r="AG581" s="389"/>
    </row>
    <row r="582" spans="1:33">
      <c r="A582" s="454" t="s">
        <v>438</v>
      </c>
      <c r="B582" s="453" t="s">
        <v>526</v>
      </c>
      <c r="C582" s="453"/>
      <c r="D582" s="454">
        <v>223898</v>
      </c>
      <c r="E582" s="408">
        <v>9</v>
      </c>
      <c r="F582" s="376">
        <f t="shared" si="35"/>
        <v>82578</v>
      </c>
      <c r="G582" s="377">
        <f t="shared" si="36"/>
        <v>95299</v>
      </c>
      <c r="H582" s="388">
        <v>15905</v>
      </c>
      <c r="I582" s="389">
        <v>16291</v>
      </c>
      <c r="J582" s="388">
        <v>49859</v>
      </c>
      <c r="K582" s="390">
        <v>58548</v>
      </c>
      <c r="L582" s="381">
        <v>15740</v>
      </c>
      <c r="M582" s="388">
        <v>1074</v>
      </c>
      <c r="N582" s="388">
        <v>0</v>
      </c>
      <c r="O582" s="389">
        <v>19398</v>
      </c>
      <c r="P582" s="389">
        <v>1062</v>
      </c>
      <c r="Q582" s="390">
        <v>0</v>
      </c>
      <c r="R582" s="381"/>
      <c r="S582" s="390"/>
      <c r="T582" s="383">
        <f t="shared" si="37"/>
        <v>0</v>
      </c>
      <c r="U582" s="384">
        <f t="shared" si="38"/>
        <v>0</v>
      </c>
      <c r="V582" s="388"/>
      <c r="W582" s="389"/>
      <c r="X582" s="391"/>
      <c r="Y582" s="390"/>
      <c r="Z582" s="381"/>
      <c r="AA582" s="388"/>
      <c r="AB582" s="388"/>
      <c r="AC582" s="389"/>
      <c r="AD582" s="389"/>
      <c r="AE582" s="392"/>
      <c r="AF582" s="381"/>
      <c r="AG582" s="389"/>
    </row>
    <row r="583" spans="1:33">
      <c r="A583" s="454" t="s">
        <v>438</v>
      </c>
      <c r="B583" s="453" t="s">
        <v>504</v>
      </c>
      <c r="C583" s="453"/>
      <c r="D583" s="454">
        <v>223320</v>
      </c>
      <c r="E583" s="408">
        <v>9</v>
      </c>
      <c r="F583" s="376">
        <f t="shared" si="35"/>
        <v>77041</v>
      </c>
      <c r="G583" s="377">
        <f t="shared" si="36"/>
        <v>85421</v>
      </c>
      <c r="H583" s="388">
        <v>25283</v>
      </c>
      <c r="I583" s="389">
        <v>25762</v>
      </c>
      <c r="J583" s="388">
        <v>33817</v>
      </c>
      <c r="K583" s="390">
        <v>38577</v>
      </c>
      <c r="L583" s="381">
        <v>10575</v>
      </c>
      <c r="M583" s="388">
        <v>5915</v>
      </c>
      <c r="N583" s="388">
        <v>1451</v>
      </c>
      <c r="O583" s="389">
        <v>13890</v>
      </c>
      <c r="P583" s="389">
        <v>5669</v>
      </c>
      <c r="Q583" s="390">
        <v>1523</v>
      </c>
      <c r="R583" s="381"/>
      <c r="S583" s="390"/>
      <c r="T583" s="383">
        <f t="shared" si="37"/>
        <v>0</v>
      </c>
      <c r="U583" s="384">
        <f t="shared" si="38"/>
        <v>0</v>
      </c>
      <c r="V583" s="388"/>
      <c r="W583" s="389"/>
      <c r="X583" s="391"/>
      <c r="Y583" s="390"/>
      <c r="Z583" s="381"/>
      <c r="AA583" s="388"/>
      <c r="AB583" s="388"/>
      <c r="AC583" s="389"/>
      <c r="AD583" s="389"/>
      <c r="AE583" s="392"/>
      <c r="AF583" s="381"/>
      <c r="AG583" s="389"/>
    </row>
    <row r="584" spans="1:33">
      <c r="A584" s="454" t="s">
        <v>438</v>
      </c>
      <c r="B584" s="453" t="s">
        <v>505</v>
      </c>
      <c r="C584" s="453"/>
      <c r="D584" s="454">
        <v>226408</v>
      </c>
      <c r="E584" s="408">
        <v>9</v>
      </c>
      <c r="F584" s="376">
        <f t="shared" ref="F584:F647" si="39">SUM(H584,J584,L584,M584,N584,R584)</f>
        <v>77570</v>
      </c>
      <c r="G584" s="377">
        <f t="shared" ref="G584:G647" si="40">SUM(I584,K584,O584,P584,Q584,S584)</f>
        <v>87748</v>
      </c>
      <c r="H584" s="388">
        <v>72622</v>
      </c>
      <c r="I584" s="389">
        <v>81099</v>
      </c>
      <c r="J584" s="388">
        <v>4948</v>
      </c>
      <c r="K584" s="390">
        <v>6649</v>
      </c>
      <c r="L584" s="381">
        <v>0</v>
      </c>
      <c r="M584" s="388">
        <v>0</v>
      </c>
      <c r="N584" s="388">
        <v>0</v>
      </c>
      <c r="O584" s="389">
        <v>0</v>
      </c>
      <c r="P584" s="389">
        <v>0</v>
      </c>
      <c r="Q584" s="390">
        <v>0</v>
      </c>
      <c r="R584" s="381"/>
      <c r="S584" s="390"/>
      <c r="T584" s="383">
        <f t="shared" ref="T584:T647" si="41">SUM(V584,X584,Z584,AA584,AB584,AF584)</f>
        <v>0</v>
      </c>
      <c r="U584" s="384">
        <f t="shared" ref="U584:U647" si="42">SUM(W584,Y584,AC584,AD584,AE584,AG584)</f>
        <v>0</v>
      </c>
      <c r="V584" s="388"/>
      <c r="W584" s="389"/>
      <c r="X584" s="391"/>
      <c r="Y584" s="390"/>
      <c r="Z584" s="381"/>
      <c r="AA584" s="388"/>
      <c r="AB584" s="388"/>
      <c r="AC584" s="389"/>
      <c r="AD584" s="389"/>
      <c r="AE584" s="392"/>
      <c r="AF584" s="381"/>
      <c r="AG584" s="389"/>
    </row>
    <row r="585" spans="1:33">
      <c r="A585" s="454" t="s">
        <v>438</v>
      </c>
      <c r="B585" s="582" t="s">
        <v>506</v>
      </c>
      <c r="C585" s="583" t="s">
        <v>871</v>
      </c>
      <c r="D585" s="454">
        <v>224615</v>
      </c>
      <c r="E585" s="580">
        <v>8</v>
      </c>
      <c r="F585" s="376">
        <f t="shared" si="39"/>
        <v>147601</v>
      </c>
      <c r="G585" s="377">
        <f t="shared" si="40"/>
        <v>171269</v>
      </c>
      <c r="H585" s="388">
        <v>115943</v>
      </c>
      <c r="I585" s="389">
        <v>131698</v>
      </c>
      <c r="J585" s="388">
        <v>0</v>
      </c>
      <c r="K585" s="390">
        <v>0</v>
      </c>
      <c r="L585" s="381">
        <v>31298</v>
      </c>
      <c r="M585" s="388">
        <v>0</v>
      </c>
      <c r="N585" s="388">
        <v>360</v>
      </c>
      <c r="O585" s="389">
        <v>39280</v>
      </c>
      <c r="P585" s="389">
        <v>0</v>
      </c>
      <c r="Q585" s="390">
        <v>291</v>
      </c>
      <c r="R585" s="381"/>
      <c r="S585" s="390"/>
      <c r="T585" s="383">
        <f t="shared" si="41"/>
        <v>0</v>
      </c>
      <c r="U585" s="384">
        <f t="shared" si="42"/>
        <v>0</v>
      </c>
      <c r="V585" s="388"/>
      <c r="W585" s="389"/>
      <c r="X585" s="391"/>
      <c r="Y585" s="390"/>
      <c r="Z585" s="381"/>
      <c r="AA585" s="388"/>
      <c r="AB585" s="388"/>
      <c r="AC585" s="389"/>
      <c r="AD585" s="389"/>
      <c r="AE585" s="392"/>
      <c r="AF585" s="381"/>
      <c r="AG585" s="389"/>
    </row>
    <row r="586" spans="1:33">
      <c r="A586" s="454" t="s">
        <v>438</v>
      </c>
      <c r="B586" s="453" t="s">
        <v>507</v>
      </c>
      <c r="C586" s="453"/>
      <c r="D586" s="454">
        <v>225070</v>
      </c>
      <c r="E586" s="408">
        <v>9</v>
      </c>
      <c r="F586" s="376">
        <f t="shared" si="39"/>
        <v>99227</v>
      </c>
      <c r="G586" s="377">
        <f t="shared" si="40"/>
        <v>111874</v>
      </c>
      <c r="H586" s="388">
        <v>74740</v>
      </c>
      <c r="I586" s="389">
        <v>82611</v>
      </c>
      <c r="J586" s="388">
        <v>457</v>
      </c>
      <c r="K586" s="390">
        <v>730</v>
      </c>
      <c r="L586" s="381">
        <v>22464</v>
      </c>
      <c r="M586" s="388">
        <v>0</v>
      </c>
      <c r="N586" s="388">
        <v>1566</v>
      </c>
      <c r="O586" s="389">
        <v>26745</v>
      </c>
      <c r="P586" s="389">
        <v>0</v>
      </c>
      <c r="Q586" s="390">
        <v>1788</v>
      </c>
      <c r="R586" s="381"/>
      <c r="S586" s="390"/>
      <c r="T586" s="383">
        <f t="shared" si="41"/>
        <v>0</v>
      </c>
      <c r="U586" s="384">
        <f t="shared" si="42"/>
        <v>0</v>
      </c>
      <c r="V586" s="388"/>
      <c r="W586" s="389"/>
      <c r="X586" s="391"/>
      <c r="Y586" s="390"/>
      <c r="Z586" s="381"/>
      <c r="AA586" s="388"/>
      <c r="AB586" s="388"/>
      <c r="AC586" s="389"/>
      <c r="AD586" s="389"/>
      <c r="AE586" s="392"/>
      <c r="AF586" s="381"/>
      <c r="AG586" s="389"/>
    </row>
    <row r="587" spans="1:33">
      <c r="A587" s="454" t="s">
        <v>438</v>
      </c>
      <c r="B587" s="453" t="s">
        <v>530</v>
      </c>
      <c r="C587" s="453"/>
      <c r="D587" s="454">
        <v>225371</v>
      </c>
      <c r="E587" s="408">
        <v>9</v>
      </c>
      <c r="F587" s="376">
        <f t="shared" si="39"/>
        <v>85677</v>
      </c>
      <c r="G587" s="377">
        <f t="shared" si="40"/>
        <v>98493</v>
      </c>
      <c r="H587" s="388">
        <v>17698</v>
      </c>
      <c r="I587" s="389">
        <v>19574</v>
      </c>
      <c r="J587" s="388">
        <v>41183</v>
      </c>
      <c r="K587" s="390">
        <v>45049</v>
      </c>
      <c r="L587" s="381">
        <v>25204</v>
      </c>
      <c r="M587" s="388">
        <v>1592</v>
      </c>
      <c r="N587" s="388">
        <v>0</v>
      </c>
      <c r="O587" s="389">
        <v>31491</v>
      </c>
      <c r="P587" s="389">
        <v>2379</v>
      </c>
      <c r="Q587" s="390">
        <v>0</v>
      </c>
      <c r="R587" s="381"/>
      <c r="S587" s="390"/>
      <c r="T587" s="383">
        <f t="shared" si="41"/>
        <v>0</v>
      </c>
      <c r="U587" s="384">
        <f t="shared" si="42"/>
        <v>0</v>
      </c>
      <c r="V587" s="388"/>
      <c r="W587" s="389"/>
      <c r="X587" s="391"/>
      <c r="Y587" s="390"/>
      <c r="Z587" s="381"/>
      <c r="AA587" s="388"/>
      <c r="AB587" s="388"/>
      <c r="AC587" s="389"/>
      <c r="AD587" s="389"/>
      <c r="AE587" s="392"/>
      <c r="AF587" s="381"/>
      <c r="AG587" s="389"/>
    </row>
    <row r="588" spans="1:33">
      <c r="A588" s="454" t="s">
        <v>438</v>
      </c>
      <c r="B588" s="453" t="s">
        <v>508</v>
      </c>
      <c r="C588" s="453"/>
      <c r="D588" s="454">
        <v>225520</v>
      </c>
      <c r="E588" s="408">
        <v>9</v>
      </c>
      <c r="F588" s="376">
        <f t="shared" si="39"/>
        <v>70754</v>
      </c>
      <c r="G588" s="377">
        <f t="shared" si="40"/>
        <v>82912</v>
      </c>
      <c r="H588" s="388">
        <v>22145</v>
      </c>
      <c r="I588" s="389">
        <v>21725</v>
      </c>
      <c r="J588" s="388">
        <v>33269</v>
      </c>
      <c r="K588" s="390">
        <v>39096</v>
      </c>
      <c r="L588" s="381">
        <v>14050</v>
      </c>
      <c r="M588" s="388">
        <v>1197</v>
      </c>
      <c r="N588" s="388">
        <v>93</v>
      </c>
      <c r="O588" s="389">
        <v>18986</v>
      </c>
      <c r="P588" s="389">
        <v>3027</v>
      </c>
      <c r="Q588" s="390">
        <v>78</v>
      </c>
      <c r="R588" s="381"/>
      <c r="S588" s="390"/>
      <c r="T588" s="383">
        <f t="shared" si="41"/>
        <v>0</v>
      </c>
      <c r="U588" s="384">
        <f t="shared" si="42"/>
        <v>0</v>
      </c>
      <c r="V588" s="388"/>
      <c r="W588" s="389"/>
      <c r="X588" s="391"/>
      <c r="Y588" s="390"/>
      <c r="Z588" s="381"/>
      <c r="AA588" s="388"/>
      <c r="AB588" s="388"/>
      <c r="AC588" s="389"/>
      <c r="AD588" s="389"/>
      <c r="AE588" s="392"/>
      <c r="AF588" s="381"/>
      <c r="AG588" s="389"/>
    </row>
    <row r="589" spans="1:33">
      <c r="A589" s="454" t="s">
        <v>438</v>
      </c>
      <c r="B589" s="453" t="s">
        <v>509</v>
      </c>
      <c r="C589" s="584" t="s">
        <v>776</v>
      </c>
      <c r="D589" s="454">
        <v>226019</v>
      </c>
      <c r="E589" s="408">
        <v>9</v>
      </c>
      <c r="F589" s="376">
        <f t="shared" si="39"/>
        <v>128654</v>
      </c>
      <c r="G589" s="377">
        <f t="shared" si="40"/>
        <v>146522</v>
      </c>
      <c r="H589" s="388">
        <v>82175</v>
      </c>
      <c r="I589" s="389">
        <v>91390</v>
      </c>
      <c r="J589" s="388">
        <v>31539</v>
      </c>
      <c r="K589" s="390">
        <v>35507</v>
      </c>
      <c r="L589" s="381">
        <v>14251</v>
      </c>
      <c r="M589" s="388">
        <v>575</v>
      </c>
      <c r="N589" s="388">
        <v>114</v>
      </c>
      <c r="O589" s="389">
        <v>18361</v>
      </c>
      <c r="P589" s="389">
        <v>1264</v>
      </c>
      <c r="Q589" s="390">
        <v>0</v>
      </c>
      <c r="R589" s="381"/>
      <c r="S589" s="390"/>
      <c r="T589" s="383">
        <f t="shared" si="41"/>
        <v>0</v>
      </c>
      <c r="U589" s="384">
        <f t="shared" si="42"/>
        <v>0</v>
      </c>
      <c r="V589" s="388"/>
      <c r="W589" s="389"/>
      <c r="X589" s="391"/>
      <c r="Y589" s="390"/>
      <c r="Z589" s="381"/>
      <c r="AA589" s="388"/>
      <c r="AB589" s="388"/>
      <c r="AC589" s="389"/>
      <c r="AD589" s="389"/>
      <c r="AE589" s="392"/>
      <c r="AF589" s="381"/>
      <c r="AG589" s="389"/>
    </row>
    <row r="590" spans="1:33">
      <c r="A590" s="454" t="s">
        <v>438</v>
      </c>
      <c r="B590" s="491" t="s">
        <v>510</v>
      </c>
      <c r="C590" s="491"/>
      <c r="D590" s="489">
        <v>441760</v>
      </c>
      <c r="E590" s="492">
        <v>9</v>
      </c>
      <c r="F590" s="376">
        <f t="shared" si="39"/>
        <v>67264</v>
      </c>
      <c r="G590" s="377">
        <f t="shared" si="40"/>
        <v>67440</v>
      </c>
      <c r="H590" s="388">
        <v>61378</v>
      </c>
      <c r="I590" s="389">
        <v>60976</v>
      </c>
      <c r="J590" s="388">
        <v>0</v>
      </c>
      <c r="K590" s="390">
        <v>2280</v>
      </c>
      <c r="L590" s="381">
        <v>4786</v>
      </c>
      <c r="M590" s="388">
        <v>0</v>
      </c>
      <c r="N590" s="388">
        <v>1100</v>
      </c>
      <c r="O590" s="389">
        <v>4109</v>
      </c>
      <c r="P590" s="389">
        <v>75</v>
      </c>
      <c r="Q590" s="390">
        <v>0</v>
      </c>
      <c r="R590" s="381"/>
      <c r="S590" s="390"/>
      <c r="T590" s="383">
        <f t="shared" si="41"/>
        <v>0</v>
      </c>
      <c r="U590" s="384">
        <f t="shared" si="42"/>
        <v>0</v>
      </c>
      <c r="V590" s="388"/>
      <c r="W590" s="389"/>
      <c r="X590" s="391"/>
      <c r="Y590" s="390"/>
      <c r="Z590" s="381"/>
      <c r="AA590" s="388"/>
      <c r="AB590" s="388"/>
      <c r="AC590" s="389"/>
      <c r="AD590" s="389"/>
      <c r="AE590" s="392"/>
      <c r="AF590" s="381"/>
      <c r="AG590" s="389"/>
    </row>
    <row r="591" spans="1:33">
      <c r="A591" s="454" t="s">
        <v>438</v>
      </c>
      <c r="B591" s="453" t="s">
        <v>511</v>
      </c>
      <c r="C591" s="453"/>
      <c r="D591" s="454">
        <v>226204</v>
      </c>
      <c r="E591" s="408">
        <v>9</v>
      </c>
      <c r="F591" s="376">
        <f t="shared" si="39"/>
        <v>133448</v>
      </c>
      <c r="G591" s="377">
        <f t="shared" si="40"/>
        <v>143743</v>
      </c>
      <c r="H591" s="388">
        <v>105915</v>
      </c>
      <c r="I591" s="389">
        <v>112426</v>
      </c>
      <c r="J591" s="388">
        <v>22172</v>
      </c>
      <c r="K591" s="390">
        <v>20242</v>
      </c>
      <c r="L591" s="381">
        <v>695</v>
      </c>
      <c r="M591" s="388">
        <v>0</v>
      </c>
      <c r="N591" s="388">
        <v>4666</v>
      </c>
      <c r="O591" s="389">
        <v>6297</v>
      </c>
      <c r="P591" s="389">
        <v>0</v>
      </c>
      <c r="Q591" s="390">
        <v>4778</v>
      </c>
      <c r="R591" s="381"/>
      <c r="S591" s="390"/>
      <c r="T591" s="383">
        <f t="shared" si="41"/>
        <v>0</v>
      </c>
      <c r="U591" s="384">
        <f t="shared" si="42"/>
        <v>0</v>
      </c>
      <c r="V591" s="388"/>
      <c r="W591" s="389"/>
      <c r="X591" s="391"/>
      <c r="Y591" s="390"/>
      <c r="Z591" s="381"/>
      <c r="AA591" s="388"/>
      <c r="AB591" s="388"/>
      <c r="AC591" s="389"/>
      <c r="AD591" s="389"/>
      <c r="AE591" s="392"/>
      <c r="AF591" s="381"/>
      <c r="AG591" s="389"/>
    </row>
    <row r="592" spans="1:33">
      <c r="A592" s="454" t="s">
        <v>438</v>
      </c>
      <c r="B592" s="488" t="s">
        <v>967</v>
      </c>
      <c r="C592" s="585" t="s">
        <v>778</v>
      </c>
      <c r="D592" s="454">
        <v>226930</v>
      </c>
      <c r="E592" s="408">
        <v>9</v>
      </c>
      <c r="F592" s="376">
        <f t="shared" si="39"/>
        <v>133562</v>
      </c>
      <c r="G592" s="377">
        <f t="shared" si="40"/>
        <v>146353</v>
      </c>
      <c r="H592" s="388">
        <v>108960</v>
      </c>
      <c r="I592" s="389">
        <v>115141</v>
      </c>
      <c r="J592" s="388">
        <v>0</v>
      </c>
      <c r="K592" s="390">
        <v>0</v>
      </c>
      <c r="L592" s="381">
        <v>24602</v>
      </c>
      <c r="M592" s="388">
        <v>0</v>
      </c>
      <c r="N592" s="388">
        <v>0</v>
      </c>
      <c r="O592" s="389">
        <v>31212</v>
      </c>
      <c r="P592" s="389">
        <v>0</v>
      </c>
      <c r="Q592" s="390">
        <v>0</v>
      </c>
      <c r="R592" s="381"/>
      <c r="S592" s="390"/>
      <c r="T592" s="383">
        <f t="shared" si="41"/>
        <v>0</v>
      </c>
      <c r="U592" s="384">
        <f t="shared" si="42"/>
        <v>0</v>
      </c>
      <c r="V592" s="388"/>
      <c r="W592" s="389"/>
      <c r="X592" s="391"/>
      <c r="Y592" s="390"/>
      <c r="Z592" s="381"/>
      <c r="AA592" s="388"/>
      <c r="AB592" s="388"/>
      <c r="AC592" s="389"/>
      <c r="AD592" s="389"/>
      <c r="AE592" s="392"/>
      <c r="AF592" s="381"/>
      <c r="AG592" s="389"/>
    </row>
    <row r="593" spans="1:33">
      <c r="A593" s="454" t="s">
        <v>438</v>
      </c>
      <c r="B593" s="582" t="s">
        <v>513</v>
      </c>
      <c r="C593" s="583" t="s">
        <v>871</v>
      </c>
      <c r="D593" s="454">
        <v>224110</v>
      </c>
      <c r="E593" s="580">
        <v>8</v>
      </c>
      <c r="F593" s="376">
        <f t="shared" si="39"/>
        <v>167202</v>
      </c>
      <c r="G593" s="377">
        <f t="shared" si="40"/>
        <v>177108</v>
      </c>
      <c r="H593" s="388">
        <v>32015</v>
      </c>
      <c r="I593" s="389">
        <v>32443</v>
      </c>
      <c r="J593" s="388">
        <v>112004</v>
      </c>
      <c r="K593" s="390">
        <v>115132</v>
      </c>
      <c r="L593" s="381">
        <v>22272</v>
      </c>
      <c r="M593" s="388">
        <v>111</v>
      </c>
      <c r="N593" s="388">
        <v>800</v>
      </c>
      <c r="O593" s="389">
        <v>28266</v>
      </c>
      <c r="P593" s="389">
        <v>219</v>
      </c>
      <c r="Q593" s="390">
        <v>1048</v>
      </c>
      <c r="R593" s="381"/>
      <c r="S593" s="390"/>
      <c r="T593" s="383">
        <f t="shared" si="41"/>
        <v>0</v>
      </c>
      <c r="U593" s="384">
        <f t="shared" si="42"/>
        <v>0</v>
      </c>
      <c r="V593" s="388"/>
      <c r="W593" s="389"/>
      <c r="X593" s="391"/>
      <c r="Y593" s="390"/>
      <c r="Z593" s="381"/>
      <c r="AA593" s="388"/>
      <c r="AB593" s="388"/>
      <c r="AC593" s="389"/>
      <c r="AD593" s="389"/>
      <c r="AE593" s="392"/>
      <c r="AF593" s="381"/>
      <c r="AG593" s="389"/>
    </row>
    <row r="594" spans="1:33">
      <c r="A594" s="454" t="s">
        <v>438</v>
      </c>
      <c r="B594" s="453" t="s">
        <v>514</v>
      </c>
      <c r="C594" s="453"/>
      <c r="D594" s="454">
        <v>227304</v>
      </c>
      <c r="E594" s="408">
        <v>9</v>
      </c>
      <c r="F594" s="376">
        <f t="shared" si="39"/>
        <v>92478</v>
      </c>
      <c r="G594" s="377">
        <f t="shared" si="40"/>
        <v>100803</v>
      </c>
      <c r="H594" s="388">
        <v>60233</v>
      </c>
      <c r="I594" s="389">
        <v>64766</v>
      </c>
      <c r="J594" s="388">
        <v>6620</v>
      </c>
      <c r="K594" s="390">
        <v>6608</v>
      </c>
      <c r="L594" s="381">
        <v>25625</v>
      </c>
      <c r="M594" s="388">
        <v>0</v>
      </c>
      <c r="N594" s="388">
        <v>0</v>
      </c>
      <c r="O594" s="389">
        <v>29429</v>
      </c>
      <c r="P594" s="389">
        <v>0</v>
      </c>
      <c r="Q594" s="390">
        <v>0</v>
      </c>
      <c r="R594" s="381"/>
      <c r="S594" s="390"/>
      <c r="T594" s="383">
        <f t="shared" si="41"/>
        <v>0</v>
      </c>
      <c r="U594" s="384">
        <f t="shared" si="42"/>
        <v>0</v>
      </c>
      <c r="V594" s="388"/>
      <c r="W594" s="389"/>
      <c r="X594" s="391"/>
      <c r="Y594" s="390"/>
      <c r="Z594" s="381"/>
      <c r="AA594" s="388"/>
      <c r="AB594" s="388"/>
      <c r="AC594" s="389"/>
      <c r="AD594" s="389"/>
      <c r="AE594" s="392"/>
      <c r="AF594" s="381"/>
      <c r="AG594" s="389"/>
    </row>
    <row r="595" spans="1:33">
      <c r="A595" s="454" t="s">
        <v>438</v>
      </c>
      <c r="B595" s="453" t="s">
        <v>515</v>
      </c>
      <c r="C595" s="453"/>
      <c r="D595" s="454">
        <v>227401</v>
      </c>
      <c r="E595" s="408">
        <v>9</v>
      </c>
      <c r="F595" s="376">
        <f t="shared" si="39"/>
        <v>110247</v>
      </c>
      <c r="G595" s="377">
        <f t="shared" si="40"/>
        <v>131831</v>
      </c>
      <c r="H595" s="388">
        <v>48291</v>
      </c>
      <c r="I595" s="389">
        <v>54350</v>
      </c>
      <c r="J595" s="388">
        <v>38124</v>
      </c>
      <c r="K595" s="390">
        <v>43436</v>
      </c>
      <c r="L595" s="381">
        <v>20564</v>
      </c>
      <c r="M595" s="388">
        <v>3268</v>
      </c>
      <c r="N595" s="388">
        <v>0</v>
      </c>
      <c r="O595" s="389">
        <v>30541</v>
      </c>
      <c r="P595" s="389">
        <v>3504</v>
      </c>
      <c r="Q595" s="390">
        <v>0</v>
      </c>
      <c r="R595" s="381"/>
      <c r="S595" s="390"/>
      <c r="T595" s="383">
        <f t="shared" si="41"/>
        <v>0</v>
      </c>
      <c r="U595" s="384">
        <f t="shared" si="42"/>
        <v>0</v>
      </c>
      <c r="V595" s="388"/>
      <c r="W595" s="389"/>
      <c r="X595" s="391"/>
      <c r="Y595" s="390"/>
      <c r="Z595" s="381"/>
      <c r="AA595" s="388"/>
      <c r="AB595" s="388"/>
      <c r="AC595" s="389"/>
      <c r="AD595" s="389"/>
      <c r="AE595" s="392"/>
      <c r="AF595" s="381"/>
      <c r="AG595" s="389"/>
    </row>
    <row r="596" spans="1:33">
      <c r="A596" s="454" t="s">
        <v>438</v>
      </c>
      <c r="B596" s="453" t="s">
        <v>516</v>
      </c>
      <c r="C596" s="453"/>
      <c r="D596" s="454">
        <v>228316</v>
      </c>
      <c r="E596" s="408">
        <v>9</v>
      </c>
      <c r="F596" s="376">
        <f t="shared" si="39"/>
        <v>105519</v>
      </c>
      <c r="G596" s="377">
        <f t="shared" si="40"/>
        <v>118563</v>
      </c>
      <c r="H596" s="388">
        <v>30618</v>
      </c>
      <c r="I596" s="389">
        <v>34470</v>
      </c>
      <c r="J596" s="388">
        <v>49850</v>
      </c>
      <c r="K596" s="390">
        <v>55135</v>
      </c>
      <c r="L596" s="381">
        <v>7217</v>
      </c>
      <c r="M596" s="388">
        <v>17834</v>
      </c>
      <c r="N596" s="388">
        <v>0</v>
      </c>
      <c r="O596" s="389">
        <v>9453</v>
      </c>
      <c r="P596" s="389">
        <v>19505</v>
      </c>
      <c r="Q596" s="390">
        <v>0</v>
      </c>
      <c r="R596" s="381"/>
      <c r="S596" s="390"/>
      <c r="T596" s="383">
        <f t="shared" si="41"/>
        <v>0</v>
      </c>
      <c r="U596" s="384">
        <f t="shared" si="42"/>
        <v>0</v>
      </c>
      <c r="V596" s="388"/>
      <c r="W596" s="389"/>
      <c r="X596" s="391"/>
      <c r="Y596" s="390"/>
      <c r="Z596" s="381"/>
      <c r="AA596" s="388"/>
      <c r="AB596" s="388"/>
      <c r="AC596" s="389"/>
      <c r="AD596" s="389"/>
      <c r="AE596" s="392"/>
      <c r="AF596" s="381"/>
      <c r="AG596" s="389"/>
    </row>
    <row r="597" spans="1:33">
      <c r="A597" s="454" t="s">
        <v>438</v>
      </c>
      <c r="B597" s="453" t="s">
        <v>517</v>
      </c>
      <c r="C597" s="453"/>
      <c r="D597" s="454">
        <v>228608</v>
      </c>
      <c r="E597" s="408">
        <v>9</v>
      </c>
      <c r="F597" s="376">
        <f t="shared" si="39"/>
        <v>110003</v>
      </c>
      <c r="G597" s="377">
        <f t="shared" si="40"/>
        <v>122171</v>
      </c>
      <c r="H597" s="388">
        <v>67638</v>
      </c>
      <c r="I597" s="389">
        <v>72437</v>
      </c>
      <c r="J597" s="388">
        <v>17364</v>
      </c>
      <c r="K597" s="390">
        <v>19413</v>
      </c>
      <c r="L597" s="381">
        <v>25001</v>
      </c>
      <c r="M597" s="388">
        <v>0</v>
      </c>
      <c r="N597" s="388">
        <v>0</v>
      </c>
      <c r="O597" s="389">
        <v>30309</v>
      </c>
      <c r="P597" s="389">
        <v>12</v>
      </c>
      <c r="Q597" s="390">
        <v>0</v>
      </c>
      <c r="R597" s="381"/>
      <c r="S597" s="390"/>
      <c r="T597" s="383">
        <f t="shared" si="41"/>
        <v>0</v>
      </c>
      <c r="U597" s="384">
        <f t="shared" si="42"/>
        <v>0</v>
      </c>
      <c r="V597" s="388"/>
      <c r="W597" s="389"/>
      <c r="X597" s="391"/>
      <c r="Y597" s="390"/>
      <c r="Z597" s="381"/>
      <c r="AA597" s="388"/>
      <c r="AB597" s="388"/>
      <c r="AC597" s="389"/>
      <c r="AD597" s="389"/>
      <c r="AE597" s="392"/>
      <c r="AF597" s="381"/>
      <c r="AG597" s="389"/>
    </row>
    <row r="598" spans="1:33">
      <c r="A598" s="454" t="s">
        <v>438</v>
      </c>
      <c r="B598" s="453" t="s">
        <v>518</v>
      </c>
      <c r="C598" s="453"/>
      <c r="D598" s="454">
        <v>228699</v>
      </c>
      <c r="E598" s="408">
        <v>9</v>
      </c>
      <c r="F598" s="376">
        <f t="shared" si="39"/>
        <v>96045</v>
      </c>
      <c r="G598" s="377">
        <f t="shared" si="40"/>
        <v>94976</v>
      </c>
      <c r="H598" s="388">
        <v>81206</v>
      </c>
      <c r="I598" s="389">
        <v>79221</v>
      </c>
      <c r="J598" s="388">
        <v>8843</v>
      </c>
      <c r="K598" s="390">
        <v>9444</v>
      </c>
      <c r="L598" s="381">
        <v>5951</v>
      </c>
      <c r="M598" s="388">
        <v>45</v>
      </c>
      <c r="N598" s="388">
        <v>0</v>
      </c>
      <c r="O598" s="389">
        <v>6263</v>
      </c>
      <c r="P598" s="389">
        <v>45</v>
      </c>
      <c r="Q598" s="390">
        <v>3</v>
      </c>
      <c r="R598" s="381"/>
      <c r="S598" s="390"/>
      <c r="T598" s="383">
        <f t="shared" si="41"/>
        <v>0</v>
      </c>
      <c r="U598" s="384">
        <f t="shared" si="42"/>
        <v>0</v>
      </c>
      <c r="V598" s="388"/>
      <c r="W598" s="389"/>
      <c r="X598" s="391"/>
      <c r="Y598" s="390"/>
      <c r="Z598" s="381"/>
      <c r="AA598" s="388"/>
      <c r="AB598" s="388"/>
      <c r="AC598" s="389"/>
      <c r="AD598" s="389"/>
      <c r="AE598" s="392"/>
      <c r="AF598" s="381"/>
      <c r="AG598" s="389"/>
    </row>
    <row r="599" spans="1:33">
      <c r="A599" s="454" t="s">
        <v>438</v>
      </c>
      <c r="B599" s="453" t="s">
        <v>519</v>
      </c>
      <c r="C599" s="453"/>
      <c r="D599" s="454">
        <v>229319</v>
      </c>
      <c r="E599" s="408">
        <v>9</v>
      </c>
      <c r="F599" s="376">
        <f t="shared" si="39"/>
        <v>125124</v>
      </c>
      <c r="G599" s="377">
        <f t="shared" si="40"/>
        <v>136009</v>
      </c>
      <c r="H599" s="388">
        <v>105520</v>
      </c>
      <c r="I599" s="389">
        <v>118614</v>
      </c>
      <c r="J599" s="388">
        <v>8945</v>
      </c>
      <c r="K599" s="390">
        <v>5614</v>
      </c>
      <c r="L599" s="381">
        <v>8724</v>
      </c>
      <c r="M599" s="388">
        <v>1935</v>
      </c>
      <c r="N599" s="388">
        <v>0</v>
      </c>
      <c r="O599" s="389">
        <v>10659</v>
      </c>
      <c r="P599" s="389">
        <v>1122</v>
      </c>
      <c r="Q599" s="390">
        <v>0</v>
      </c>
      <c r="R599" s="381"/>
      <c r="S599" s="390"/>
      <c r="T599" s="383">
        <f t="shared" si="41"/>
        <v>0</v>
      </c>
      <c r="U599" s="384">
        <f t="shared" si="42"/>
        <v>0</v>
      </c>
      <c r="V599" s="388"/>
      <c r="W599" s="389"/>
      <c r="X599" s="391"/>
      <c r="Y599" s="390"/>
      <c r="Z599" s="381"/>
      <c r="AA599" s="388"/>
      <c r="AB599" s="388"/>
      <c r="AC599" s="389"/>
      <c r="AD599" s="389"/>
      <c r="AE599" s="392"/>
      <c r="AF599" s="381"/>
      <c r="AG599" s="389"/>
    </row>
    <row r="600" spans="1:33">
      <c r="A600" s="454" t="s">
        <v>438</v>
      </c>
      <c r="B600" s="453" t="s">
        <v>520</v>
      </c>
      <c r="C600" s="584" t="s">
        <v>776</v>
      </c>
      <c r="D600" s="454">
        <v>228680</v>
      </c>
      <c r="E600" s="408">
        <v>9</v>
      </c>
      <c r="F600" s="376">
        <f t="shared" si="39"/>
        <v>149225</v>
      </c>
      <c r="G600" s="377">
        <f t="shared" si="40"/>
        <v>163434</v>
      </c>
      <c r="H600" s="388">
        <v>127340</v>
      </c>
      <c r="I600" s="389">
        <v>143272</v>
      </c>
      <c r="J600" s="388">
        <v>15446</v>
      </c>
      <c r="K600" s="390">
        <v>8499</v>
      </c>
      <c r="L600" s="381">
        <v>6409</v>
      </c>
      <c r="M600" s="388">
        <v>0</v>
      </c>
      <c r="N600" s="388">
        <v>30</v>
      </c>
      <c r="O600" s="389">
        <v>11663</v>
      </c>
      <c r="P600" s="389">
        <v>0</v>
      </c>
      <c r="Q600" s="390">
        <v>0</v>
      </c>
      <c r="R600" s="381"/>
      <c r="S600" s="390"/>
      <c r="T600" s="383">
        <f t="shared" si="41"/>
        <v>0</v>
      </c>
      <c r="U600" s="384">
        <f t="shared" si="42"/>
        <v>0</v>
      </c>
      <c r="V600" s="388"/>
      <c r="W600" s="389"/>
      <c r="X600" s="391"/>
      <c r="Y600" s="390"/>
      <c r="Z600" s="381"/>
      <c r="AA600" s="388"/>
      <c r="AB600" s="388"/>
      <c r="AC600" s="389"/>
      <c r="AD600" s="389"/>
      <c r="AE600" s="392"/>
      <c r="AF600" s="381"/>
      <c r="AG600" s="389"/>
    </row>
    <row r="601" spans="1:33">
      <c r="A601" s="454" t="s">
        <v>438</v>
      </c>
      <c r="B601" s="453" t="s">
        <v>521</v>
      </c>
      <c r="C601" s="584" t="s">
        <v>776</v>
      </c>
      <c r="D601" s="454">
        <v>225308</v>
      </c>
      <c r="E601" s="408">
        <v>9</v>
      </c>
      <c r="F601" s="376">
        <f t="shared" si="39"/>
        <v>144332</v>
      </c>
      <c r="G601" s="377">
        <f t="shared" si="40"/>
        <v>166114</v>
      </c>
      <c r="H601" s="388">
        <v>84464</v>
      </c>
      <c r="I601" s="389">
        <v>94853</v>
      </c>
      <c r="J601" s="388">
        <v>36797</v>
      </c>
      <c r="K601" s="390">
        <v>43587</v>
      </c>
      <c r="L601" s="381">
        <v>20923</v>
      </c>
      <c r="M601" s="388">
        <v>2148</v>
      </c>
      <c r="N601" s="388">
        <v>0</v>
      </c>
      <c r="O601" s="389">
        <v>26840</v>
      </c>
      <c r="P601" s="389">
        <v>834</v>
      </c>
      <c r="Q601" s="390">
        <v>0</v>
      </c>
      <c r="R601" s="381"/>
      <c r="S601" s="390"/>
      <c r="T601" s="383">
        <f t="shared" si="41"/>
        <v>0</v>
      </c>
      <c r="U601" s="384">
        <f t="shared" si="42"/>
        <v>0</v>
      </c>
      <c r="V601" s="388"/>
      <c r="W601" s="389"/>
      <c r="X601" s="391"/>
      <c r="Y601" s="390"/>
      <c r="Z601" s="381"/>
      <c r="AA601" s="388"/>
      <c r="AB601" s="388"/>
      <c r="AC601" s="389"/>
      <c r="AD601" s="389"/>
      <c r="AE601" s="392"/>
      <c r="AF601" s="381"/>
      <c r="AG601" s="389"/>
    </row>
    <row r="602" spans="1:33">
      <c r="A602" s="454" t="s">
        <v>438</v>
      </c>
      <c r="B602" s="453" t="s">
        <v>522</v>
      </c>
      <c r="C602" s="453"/>
      <c r="D602" s="454">
        <v>229504</v>
      </c>
      <c r="E602" s="408">
        <v>9</v>
      </c>
      <c r="F602" s="376">
        <f t="shared" si="39"/>
        <v>63948</v>
      </c>
      <c r="G602" s="377">
        <f t="shared" si="40"/>
        <v>67813</v>
      </c>
      <c r="H602" s="388">
        <v>8763</v>
      </c>
      <c r="I602" s="389">
        <v>9311</v>
      </c>
      <c r="J602" s="388">
        <v>29946</v>
      </c>
      <c r="K602" s="390">
        <v>31700</v>
      </c>
      <c r="L602" s="381">
        <v>18289</v>
      </c>
      <c r="M602" s="388">
        <v>6950</v>
      </c>
      <c r="N602" s="388">
        <v>0</v>
      </c>
      <c r="O602" s="389">
        <v>20532</v>
      </c>
      <c r="P602" s="389">
        <v>6270</v>
      </c>
      <c r="Q602" s="390">
        <v>0</v>
      </c>
      <c r="R602" s="381"/>
      <c r="S602" s="390"/>
      <c r="T602" s="383">
        <f t="shared" si="41"/>
        <v>0</v>
      </c>
      <c r="U602" s="384">
        <f t="shared" si="42"/>
        <v>0</v>
      </c>
      <c r="V602" s="388"/>
      <c r="W602" s="389"/>
      <c r="X602" s="391"/>
      <c r="Y602" s="390"/>
      <c r="Z602" s="381"/>
      <c r="AA602" s="388"/>
      <c r="AB602" s="388"/>
      <c r="AC602" s="389"/>
      <c r="AD602" s="389"/>
      <c r="AE602" s="392"/>
      <c r="AF602" s="381"/>
      <c r="AG602" s="389"/>
    </row>
    <row r="603" spans="1:33">
      <c r="A603" s="454" t="s">
        <v>438</v>
      </c>
      <c r="B603" s="453" t="s">
        <v>523</v>
      </c>
      <c r="C603" s="453"/>
      <c r="D603" s="454">
        <v>229540</v>
      </c>
      <c r="E603" s="408">
        <v>9</v>
      </c>
      <c r="F603" s="376">
        <f t="shared" si="39"/>
        <v>75188</v>
      </c>
      <c r="G603" s="377">
        <f t="shared" si="40"/>
        <v>81880</v>
      </c>
      <c r="H603" s="388">
        <v>48298</v>
      </c>
      <c r="I603" s="389">
        <v>55839</v>
      </c>
      <c r="J603" s="388">
        <v>5643</v>
      </c>
      <c r="K603" s="390">
        <v>5672</v>
      </c>
      <c r="L603" s="381">
        <v>18155</v>
      </c>
      <c r="M603" s="388">
        <v>3092</v>
      </c>
      <c r="N603" s="388">
        <v>0</v>
      </c>
      <c r="O603" s="389">
        <v>16617</v>
      </c>
      <c r="P603" s="389">
        <v>3752</v>
      </c>
      <c r="Q603" s="390">
        <v>0</v>
      </c>
      <c r="R603" s="381"/>
      <c r="S603" s="390"/>
      <c r="T603" s="383">
        <f t="shared" si="41"/>
        <v>0</v>
      </c>
      <c r="U603" s="384">
        <f t="shared" si="42"/>
        <v>0</v>
      </c>
      <c r="V603" s="388"/>
      <c r="W603" s="389"/>
      <c r="X603" s="391"/>
      <c r="Y603" s="390"/>
      <c r="Z603" s="381"/>
      <c r="AA603" s="388"/>
      <c r="AB603" s="388"/>
      <c r="AC603" s="389"/>
      <c r="AD603" s="389"/>
      <c r="AE603" s="392"/>
      <c r="AF603" s="381"/>
      <c r="AG603" s="389"/>
    </row>
    <row r="604" spans="1:33">
      <c r="A604" s="454" t="s">
        <v>438</v>
      </c>
      <c r="B604" s="453" t="s">
        <v>524</v>
      </c>
      <c r="C604" s="453"/>
      <c r="D604" s="454">
        <v>229799</v>
      </c>
      <c r="E604" s="408">
        <v>9</v>
      </c>
      <c r="F604" s="376">
        <f t="shared" si="39"/>
        <v>105461</v>
      </c>
      <c r="G604" s="377">
        <f t="shared" si="40"/>
        <v>116501</v>
      </c>
      <c r="H604" s="388">
        <v>77932</v>
      </c>
      <c r="I604" s="389">
        <v>83333</v>
      </c>
      <c r="J604" s="388">
        <v>10840</v>
      </c>
      <c r="K604" s="390">
        <v>12257</v>
      </c>
      <c r="L604" s="381">
        <v>14976</v>
      </c>
      <c r="M604" s="388">
        <v>1713</v>
      </c>
      <c r="N604" s="388">
        <v>0</v>
      </c>
      <c r="O604" s="389">
        <v>20575</v>
      </c>
      <c r="P604" s="389">
        <v>336</v>
      </c>
      <c r="Q604" s="390">
        <v>0</v>
      </c>
      <c r="R604" s="381"/>
      <c r="S604" s="390"/>
      <c r="T604" s="383">
        <f t="shared" si="41"/>
        <v>0</v>
      </c>
      <c r="U604" s="384">
        <f t="shared" si="42"/>
        <v>0</v>
      </c>
      <c r="V604" s="388"/>
      <c r="W604" s="389"/>
      <c r="X604" s="391"/>
      <c r="Y604" s="390"/>
      <c r="Z604" s="381"/>
      <c r="AA604" s="388"/>
      <c r="AB604" s="388"/>
      <c r="AC604" s="389"/>
      <c r="AD604" s="389"/>
      <c r="AE604" s="392"/>
      <c r="AF604" s="381"/>
      <c r="AG604" s="389"/>
    </row>
    <row r="605" spans="1:33">
      <c r="A605" s="454" t="s">
        <v>438</v>
      </c>
      <c r="B605" s="453" t="s">
        <v>525</v>
      </c>
      <c r="C605" s="453"/>
      <c r="D605" s="454">
        <v>229841</v>
      </c>
      <c r="E605" s="408">
        <v>9</v>
      </c>
      <c r="F605" s="376">
        <f t="shared" si="39"/>
        <v>131186</v>
      </c>
      <c r="G605" s="377">
        <f t="shared" si="40"/>
        <v>145528</v>
      </c>
      <c r="H605" s="388">
        <v>42637</v>
      </c>
      <c r="I605" s="389">
        <v>48270</v>
      </c>
      <c r="J605" s="388">
        <v>70062</v>
      </c>
      <c r="K605" s="390">
        <v>75606</v>
      </c>
      <c r="L605" s="381">
        <v>15438</v>
      </c>
      <c r="M605" s="388">
        <v>3049</v>
      </c>
      <c r="N605" s="388">
        <v>0</v>
      </c>
      <c r="O605" s="389">
        <v>18772</v>
      </c>
      <c r="P605" s="389">
        <v>2880</v>
      </c>
      <c r="Q605" s="390">
        <v>0</v>
      </c>
      <c r="R605" s="381"/>
      <c r="S605" s="390"/>
      <c r="T605" s="383">
        <f t="shared" si="41"/>
        <v>0</v>
      </c>
      <c r="U605" s="384">
        <f t="shared" si="42"/>
        <v>0</v>
      </c>
      <c r="V605" s="388"/>
      <c r="W605" s="389"/>
      <c r="X605" s="391"/>
      <c r="Y605" s="390"/>
      <c r="Z605" s="381"/>
      <c r="AA605" s="388"/>
      <c r="AB605" s="388"/>
      <c r="AC605" s="389"/>
      <c r="AD605" s="389"/>
      <c r="AE605" s="392"/>
      <c r="AF605" s="381"/>
      <c r="AG605" s="389"/>
    </row>
    <row r="606" spans="1:33">
      <c r="A606" s="454" t="s">
        <v>438</v>
      </c>
      <c r="B606" s="453" t="s">
        <v>527</v>
      </c>
      <c r="C606" s="453"/>
      <c r="D606" s="454">
        <v>223922</v>
      </c>
      <c r="E606" s="408">
        <v>10</v>
      </c>
      <c r="F606" s="376">
        <f t="shared" si="39"/>
        <v>30286</v>
      </c>
      <c r="G606" s="377">
        <f t="shared" si="40"/>
        <v>35116</v>
      </c>
      <c r="H606" s="388">
        <v>11333</v>
      </c>
      <c r="I606" s="389">
        <v>11447</v>
      </c>
      <c r="J606" s="388">
        <v>12520</v>
      </c>
      <c r="K606" s="390">
        <v>14515</v>
      </c>
      <c r="L606" s="381">
        <v>6000</v>
      </c>
      <c r="M606" s="388">
        <v>425</v>
      </c>
      <c r="N606" s="388">
        <v>8</v>
      </c>
      <c r="O606" s="389">
        <v>8487</v>
      </c>
      <c r="P606" s="389">
        <v>654</v>
      </c>
      <c r="Q606" s="390">
        <v>13</v>
      </c>
      <c r="R606" s="381"/>
      <c r="S606" s="390"/>
      <c r="T606" s="383">
        <f t="shared" si="41"/>
        <v>0</v>
      </c>
      <c r="U606" s="384">
        <f t="shared" si="42"/>
        <v>0</v>
      </c>
      <c r="V606" s="388"/>
      <c r="W606" s="389"/>
      <c r="X606" s="391"/>
      <c r="Y606" s="390"/>
      <c r="Z606" s="381"/>
      <c r="AA606" s="388"/>
      <c r="AB606" s="388"/>
      <c r="AC606" s="389"/>
      <c r="AD606" s="389"/>
      <c r="AE606" s="392"/>
      <c r="AF606" s="381"/>
      <c r="AG606" s="389"/>
    </row>
    <row r="607" spans="1:33">
      <c r="A607" s="454" t="s">
        <v>438</v>
      </c>
      <c r="B607" s="453" t="s">
        <v>528</v>
      </c>
      <c r="C607" s="453"/>
      <c r="D607" s="454">
        <v>224891</v>
      </c>
      <c r="E607" s="408">
        <v>10</v>
      </c>
      <c r="F607" s="376">
        <f t="shared" si="39"/>
        <v>24940</v>
      </c>
      <c r="G607" s="377">
        <f t="shared" si="40"/>
        <v>25567</v>
      </c>
      <c r="H607" s="388">
        <v>17703</v>
      </c>
      <c r="I607" s="389">
        <v>19199</v>
      </c>
      <c r="J607" s="388">
        <v>1405</v>
      </c>
      <c r="K607" s="390">
        <v>1479</v>
      </c>
      <c r="L607" s="381">
        <v>2440</v>
      </c>
      <c r="M607" s="388">
        <v>0</v>
      </c>
      <c r="N607" s="388">
        <v>3392</v>
      </c>
      <c r="O607" s="389">
        <v>1989</v>
      </c>
      <c r="P607" s="389">
        <v>0</v>
      </c>
      <c r="Q607" s="390">
        <v>2900</v>
      </c>
      <c r="R607" s="381"/>
      <c r="S607" s="390"/>
      <c r="T607" s="383">
        <f t="shared" si="41"/>
        <v>0</v>
      </c>
      <c r="U607" s="384">
        <f t="shared" si="42"/>
        <v>0</v>
      </c>
      <c r="V607" s="388"/>
      <c r="W607" s="389"/>
      <c r="X607" s="391"/>
      <c r="Y607" s="390"/>
      <c r="Z607" s="381"/>
      <c r="AA607" s="388"/>
      <c r="AB607" s="388"/>
      <c r="AC607" s="389"/>
      <c r="AD607" s="389"/>
      <c r="AE607" s="392"/>
      <c r="AF607" s="381"/>
      <c r="AG607" s="389"/>
    </row>
    <row r="608" spans="1:33">
      <c r="A608" s="454" t="s">
        <v>438</v>
      </c>
      <c r="B608" s="453" t="s">
        <v>529</v>
      </c>
      <c r="C608" s="453"/>
      <c r="D608" s="454">
        <v>224961</v>
      </c>
      <c r="E608" s="408">
        <v>10</v>
      </c>
      <c r="F608" s="376">
        <f t="shared" si="39"/>
        <v>39651</v>
      </c>
      <c r="G608" s="377">
        <f t="shared" si="40"/>
        <v>46278</v>
      </c>
      <c r="H608" s="388">
        <v>39286</v>
      </c>
      <c r="I608" s="389">
        <v>45591</v>
      </c>
      <c r="J608" s="388">
        <v>0</v>
      </c>
      <c r="K608" s="390">
        <v>305</v>
      </c>
      <c r="L608" s="381">
        <v>365</v>
      </c>
      <c r="M608" s="388">
        <v>0</v>
      </c>
      <c r="N608" s="388">
        <v>0</v>
      </c>
      <c r="O608" s="389">
        <v>382</v>
      </c>
      <c r="P608" s="389">
        <v>0</v>
      </c>
      <c r="Q608" s="390">
        <v>0</v>
      </c>
      <c r="R608" s="381"/>
      <c r="S608" s="390"/>
      <c r="T608" s="383">
        <f t="shared" si="41"/>
        <v>0</v>
      </c>
      <c r="U608" s="384">
        <f t="shared" si="42"/>
        <v>0</v>
      </c>
      <c r="V608" s="388"/>
      <c r="W608" s="389"/>
      <c r="X608" s="391"/>
      <c r="Y608" s="390"/>
      <c r="Z608" s="381"/>
      <c r="AA608" s="388"/>
      <c r="AB608" s="388"/>
      <c r="AC608" s="389"/>
      <c r="AD608" s="389"/>
      <c r="AE608" s="392"/>
      <c r="AF608" s="381"/>
      <c r="AG608" s="389"/>
    </row>
    <row r="609" spans="1:33">
      <c r="A609" s="454" t="s">
        <v>438</v>
      </c>
      <c r="B609" s="453" t="s">
        <v>531</v>
      </c>
      <c r="C609" s="453"/>
      <c r="D609" s="454">
        <v>226107</v>
      </c>
      <c r="E609" s="408">
        <v>10</v>
      </c>
      <c r="F609" s="376">
        <f t="shared" si="39"/>
        <v>44460</v>
      </c>
      <c r="G609" s="377">
        <f t="shared" si="40"/>
        <v>53594</v>
      </c>
      <c r="H609" s="388">
        <v>38320</v>
      </c>
      <c r="I609" s="389">
        <v>47495</v>
      </c>
      <c r="J609" s="388">
        <v>1656</v>
      </c>
      <c r="K609" s="390">
        <v>0</v>
      </c>
      <c r="L609" s="381">
        <v>4484</v>
      </c>
      <c r="M609" s="388">
        <v>0</v>
      </c>
      <c r="N609" s="388">
        <v>0</v>
      </c>
      <c r="O609" s="389">
        <v>6099</v>
      </c>
      <c r="P609" s="389">
        <v>0</v>
      </c>
      <c r="Q609" s="390">
        <v>0</v>
      </c>
      <c r="R609" s="381"/>
      <c r="S609" s="390"/>
      <c r="T609" s="383">
        <f t="shared" si="41"/>
        <v>0</v>
      </c>
      <c r="U609" s="384">
        <f t="shared" si="42"/>
        <v>0</v>
      </c>
      <c r="V609" s="388"/>
      <c r="W609" s="389"/>
      <c r="X609" s="391"/>
      <c r="Y609" s="390"/>
      <c r="Z609" s="381"/>
      <c r="AA609" s="388"/>
      <c r="AB609" s="388"/>
      <c r="AC609" s="389"/>
      <c r="AD609" s="389"/>
      <c r="AE609" s="392"/>
      <c r="AF609" s="381"/>
      <c r="AG609" s="389"/>
    </row>
    <row r="610" spans="1:33">
      <c r="A610" s="454" t="s">
        <v>438</v>
      </c>
      <c r="B610" s="491" t="s">
        <v>532</v>
      </c>
      <c r="C610" s="586" t="s">
        <v>780</v>
      </c>
      <c r="D610" s="489">
        <v>226116</v>
      </c>
      <c r="E610" s="492">
        <v>10</v>
      </c>
      <c r="F610" s="376">
        <f t="shared" si="39"/>
        <v>43158</v>
      </c>
      <c r="G610" s="377">
        <f t="shared" si="40"/>
        <v>50934</v>
      </c>
      <c r="H610" s="388">
        <v>34484</v>
      </c>
      <c r="I610" s="389">
        <v>40162</v>
      </c>
      <c r="J610" s="388">
        <v>5537</v>
      </c>
      <c r="K610" s="390">
        <v>5413</v>
      </c>
      <c r="L610" s="381">
        <v>3137</v>
      </c>
      <c r="M610" s="388">
        <v>0</v>
      </c>
      <c r="N610" s="388">
        <v>0</v>
      </c>
      <c r="O610" s="389">
        <v>5359</v>
      </c>
      <c r="P610" s="389">
        <v>0</v>
      </c>
      <c r="Q610" s="390">
        <v>0</v>
      </c>
      <c r="R610" s="381"/>
      <c r="S610" s="390"/>
      <c r="T610" s="383">
        <f t="shared" si="41"/>
        <v>0</v>
      </c>
      <c r="U610" s="384">
        <f t="shared" si="42"/>
        <v>0</v>
      </c>
      <c r="V610" s="388"/>
      <c r="W610" s="389"/>
      <c r="X610" s="391"/>
      <c r="Y610" s="390"/>
      <c r="Z610" s="381"/>
      <c r="AA610" s="388"/>
      <c r="AB610" s="388"/>
      <c r="AC610" s="389"/>
      <c r="AD610" s="389"/>
      <c r="AE610" s="392"/>
      <c r="AF610" s="381"/>
      <c r="AG610" s="389"/>
    </row>
    <row r="611" spans="1:33">
      <c r="A611" s="454" t="s">
        <v>438</v>
      </c>
      <c r="B611" s="491" t="s">
        <v>533</v>
      </c>
      <c r="C611" s="491"/>
      <c r="D611" s="581">
        <v>222992</v>
      </c>
      <c r="E611" s="492">
        <v>10</v>
      </c>
      <c r="F611" s="376">
        <f t="shared" si="39"/>
        <v>10161</v>
      </c>
      <c r="G611" s="377">
        <f t="shared" si="40"/>
        <v>13983</v>
      </c>
      <c r="H611" s="388">
        <v>9643</v>
      </c>
      <c r="I611" s="389">
        <v>13281</v>
      </c>
      <c r="J611" s="388">
        <v>0</v>
      </c>
      <c r="K611" s="390">
        <v>0</v>
      </c>
      <c r="L611" s="381">
        <v>518</v>
      </c>
      <c r="M611" s="388">
        <v>0</v>
      </c>
      <c r="N611" s="388">
        <v>0</v>
      </c>
      <c r="O611" s="389">
        <v>702</v>
      </c>
      <c r="P611" s="389">
        <v>0</v>
      </c>
      <c r="Q611" s="390">
        <v>0</v>
      </c>
      <c r="R611" s="381"/>
      <c r="S611" s="390"/>
      <c r="T611" s="383">
        <f t="shared" si="41"/>
        <v>0</v>
      </c>
      <c r="U611" s="384">
        <f t="shared" si="42"/>
        <v>0</v>
      </c>
      <c r="V611" s="388"/>
      <c r="W611" s="389"/>
      <c r="X611" s="391"/>
      <c r="Y611" s="390"/>
      <c r="Z611" s="381"/>
      <c r="AA611" s="388"/>
      <c r="AB611" s="388"/>
      <c r="AC611" s="389"/>
      <c r="AD611" s="389"/>
      <c r="AE611" s="392"/>
      <c r="AF611" s="381"/>
      <c r="AG611" s="389"/>
    </row>
    <row r="612" spans="1:33">
      <c r="A612" s="454" t="s">
        <v>438</v>
      </c>
      <c r="B612" s="453" t="s">
        <v>534</v>
      </c>
      <c r="C612" s="584" t="s">
        <v>779</v>
      </c>
      <c r="D612" s="454">
        <v>227225</v>
      </c>
      <c r="E612" s="408">
        <v>10</v>
      </c>
      <c r="F612" s="376">
        <f t="shared" si="39"/>
        <v>59189</v>
      </c>
      <c r="G612" s="377">
        <f t="shared" si="40"/>
        <v>69750</v>
      </c>
      <c r="H612" s="388">
        <v>50054</v>
      </c>
      <c r="I612" s="389">
        <v>58103</v>
      </c>
      <c r="J612" s="388">
        <v>927</v>
      </c>
      <c r="K612" s="390">
        <v>1080</v>
      </c>
      <c r="L612" s="381">
        <v>8193</v>
      </c>
      <c r="M612" s="388">
        <v>15</v>
      </c>
      <c r="N612" s="388">
        <v>0</v>
      </c>
      <c r="O612" s="389">
        <v>10420</v>
      </c>
      <c r="P612" s="389">
        <v>54</v>
      </c>
      <c r="Q612" s="390">
        <v>93</v>
      </c>
      <c r="R612" s="381"/>
      <c r="S612" s="390"/>
      <c r="T612" s="383">
        <f t="shared" si="41"/>
        <v>0</v>
      </c>
      <c r="U612" s="384">
        <f t="shared" si="42"/>
        <v>0</v>
      </c>
      <c r="V612" s="388"/>
      <c r="W612" s="389"/>
      <c r="X612" s="391"/>
      <c r="Y612" s="390"/>
      <c r="Z612" s="381"/>
      <c r="AA612" s="388"/>
      <c r="AB612" s="388"/>
      <c r="AC612" s="389"/>
      <c r="AD612" s="389"/>
      <c r="AE612" s="392"/>
      <c r="AF612" s="381"/>
      <c r="AG612" s="389"/>
    </row>
    <row r="613" spans="1:33">
      <c r="A613" s="454" t="s">
        <v>438</v>
      </c>
      <c r="B613" s="453" t="s">
        <v>535</v>
      </c>
      <c r="C613" s="453"/>
      <c r="D613" s="454">
        <v>227386</v>
      </c>
      <c r="E613" s="408">
        <v>10</v>
      </c>
      <c r="F613" s="376">
        <f t="shared" si="39"/>
        <v>43235</v>
      </c>
      <c r="G613" s="377">
        <f t="shared" si="40"/>
        <v>47697</v>
      </c>
      <c r="H613" s="388">
        <v>23627</v>
      </c>
      <c r="I613" s="389">
        <v>25964</v>
      </c>
      <c r="J613" s="388">
        <v>7830</v>
      </c>
      <c r="K613" s="390">
        <v>8198</v>
      </c>
      <c r="L613" s="381">
        <v>10650</v>
      </c>
      <c r="M613" s="388">
        <v>1128</v>
      </c>
      <c r="N613" s="388">
        <v>0</v>
      </c>
      <c r="O613" s="389">
        <v>12025</v>
      </c>
      <c r="P613" s="389">
        <v>1510</v>
      </c>
      <c r="Q613" s="390">
        <v>0</v>
      </c>
      <c r="R613" s="381"/>
      <c r="S613" s="390"/>
      <c r="T613" s="383">
        <f t="shared" si="41"/>
        <v>0</v>
      </c>
      <c r="U613" s="384">
        <f t="shared" si="42"/>
        <v>0</v>
      </c>
      <c r="V613" s="388"/>
      <c r="W613" s="389"/>
      <c r="X613" s="391"/>
      <c r="Y613" s="390"/>
      <c r="Z613" s="381"/>
      <c r="AA613" s="388"/>
      <c r="AB613" s="388"/>
      <c r="AC613" s="389"/>
      <c r="AD613" s="389"/>
      <c r="AE613" s="392"/>
      <c r="AF613" s="381"/>
      <c r="AG613" s="389"/>
    </row>
    <row r="614" spans="1:33">
      <c r="A614" s="454" t="s">
        <v>438</v>
      </c>
      <c r="B614" s="453" t="s">
        <v>536</v>
      </c>
      <c r="C614" s="453"/>
      <c r="D614" s="454">
        <v>227687</v>
      </c>
      <c r="E614" s="408">
        <v>10</v>
      </c>
      <c r="F614" s="376">
        <f t="shared" si="39"/>
        <v>18727</v>
      </c>
      <c r="G614" s="377">
        <f t="shared" si="40"/>
        <v>26592</v>
      </c>
      <c r="H614" s="388">
        <v>10677</v>
      </c>
      <c r="I614" s="389">
        <v>11005</v>
      </c>
      <c r="J614" s="388">
        <v>6710</v>
      </c>
      <c r="K614" s="390">
        <v>10096</v>
      </c>
      <c r="L614" s="381">
        <v>806</v>
      </c>
      <c r="M614" s="388">
        <v>534</v>
      </c>
      <c r="N614" s="388">
        <v>0</v>
      </c>
      <c r="O614" s="389">
        <v>3932</v>
      </c>
      <c r="P614" s="389">
        <v>1493</v>
      </c>
      <c r="Q614" s="390">
        <v>66</v>
      </c>
      <c r="R614" s="381"/>
      <c r="S614" s="390"/>
      <c r="T614" s="383">
        <f t="shared" si="41"/>
        <v>0</v>
      </c>
      <c r="U614" s="384">
        <f t="shared" si="42"/>
        <v>0</v>
      </c>
      <c r="V614" s="388"/>
      <c r="W614" s="389"/>
      <c r="X614" s="391"/>
      <c r="Y614" s="390"/>
      <c r="Z614" s="381"/>
      <c r="AA614" s="388"/>
      <c r="AB614" s="388"/>
      <c r="AC614" s="389"/>
      <c r="AD614" s="389"/>
      <c r="AE614" s="392"/>
      <c r="AF614" s="381"/>
      <c r="AG614" s="389"/>
    </row>
    <row r="615" spans="1:33">
      <c r="A615" s="454" t="s">
        <v>438</v>
      </c>
      <c r="B615" s="453" t="s">
        <v>537</v>
      </c>
      <c r="C615" s="453"/>
      <c r="D615" s="454">
        <v>382911</v>
      </c>
      <c r="E615" s="408">
        <v>10</v>
      </c>
      <c r="F615" s="376">
        <f t="shared" si="39"/>
        <v>2141</v>
      </c>
      <c r="G615" s="377">
        <f t="shared" si="40"/>
        <v>2067</v>
      </c>
      <c r="H615" s="388">
        <v>2135</v>
      </c>
      <c r="I615" s="389">
        <v>2004</v>
      </c>
      <c r="J615" s="388">
        <v>6</v>
      </c>
      <c r="K615" s="390">
        <v>0</v>
      </c>
      <c r="L615" s="381">
        <v>0</v>
      </c>
      <c r="M615" s="388">
        <v>0</v>
      </c>
      <c r="N615" s="388">
        <v>0</v>
      </c>
      <c r="O615" s="389">
        <v>45</v>
      </c>
      <c r="P615" s="389">
        <v>0</v>
      </c>
      <c r="Q615" s="390">
        <v>18</v>
      </c>
      <c r="R615" s="381"/>
      <c r="S615" s="390"/>
      <c r="T615" s="383">
        <f t="shared" si="41"/>
        <v>0</v>
      </c>
      <c r="U615" s="384">
        <f t="shared" si="42"/>
        <v>0</v>
      </c>
      <c r="V615" s="388"/>
      <c r="W615" s="389"/>
      <c r="X615" s="391"/>
      <c r="Y615" s="390"/>
      <c r="Z615" s="381"/>
      <c r="AA615" s="388"/>
      <c r="AB615" s="388"/>
      <c r="AC615" s="389"/>
      <c r="AD615" s="389"/>
      <c r="AE615" s="392"/>
      <c r="AF615" s="381"/>
      <c r="AG615" s="389"/>
    </row>
    <row r="616" spans="1:33">
      <c r="A616" s="454" t="s">
        <v>438</v>
      </c>
      <c r="B616" s="453" t="s">
        <v>538</v>
      </c>
      <c r="C616" s="453"/>
      <c r="D616" s="454">
        <v>408394</v>
      </c>
      <c r="E616" s="408">
        <v>10</v>
      </c>
      <c r="F616" s="376">
        <f t="shared" si="39"/>
        <v>21188</v>
      </c>
      <c r="G616" s="377">
        <f t="shared" si="40"/>
        <v>23775</v>
      </c>
      <c r="H616" s="411">
        <v>12860</v>
      </c>
      <c r="I616" s="412">
        <v>15272</v>
      </c>
      <c r="J616" s="411">
        <v>1566</v>
      </c>
      <c r="K616" s="413">
        <v>1222</v>
      </c>
      <c r="L616" s="414">
        <v>6762</v>
      </c>
      <c r="M616" s="411">
        <v>0</v>
      </c>
      <c r="N616" s="411">
        <v>0</v>
      </c>
      <c r="O616" s="412">
        <v>7281</v>
      </c>
      <c r="P616" s="412">
        <v>0</v>
      </c>
      <c r="Q616" s="413">
        <v>0</v>
      </c>
      <c r="R616" s="381"/>
      <c r="S616" s="390"/>
      <c r="T616" s="383">
        <f t="shared" si="41"/>
        <v>0</v>
      </c>
      <c r="U616" s="384">
        <f t="shared" si="42"/>
        <v>0</v>
      </c>
      <c r="V616" s="388"/>
      <c r="W616" s="389"/>
      <c r="X616" s="391"/>
      <c r="Y616" s="390"/>
      <c r="Z616" s="381"/>
      <c r="AA616" s="388"/>
      <c r="AB616" s="388"/>
      <c r="AC616" s="389"/>
      <c r="AD616" s="389"/>
      <c r="AE616" s="392"/>
      <c r="AF616" s="381"/>
      <c r="AG616" s="389"/>
    </row>
    <row r="617" spans="1:33">
      <c r="A617" s="454" t="s">
        <v>438</v>
      </c>
      <c r="B617" s="453" t="s">
        <v>539</v>
      </c>
      <c r="C617" s="453"/>
      <c r="D617" s="454">
        <v>229328</v>
      </c>
      <c r="E617" s="408">
        <v>10</v>
      </c>
      <c r="F617" s="376">
        <f t="shared" si="39"/>
        <v>43840</v>
      </c>
      <c r="G617" s="377">
        <f t="shared" si="40"/>
        <v>38675</v>
      </c>
      <c r="H617" s="411">
        <v>9456</v>
      </c>
      <c r="I617" s="412">
        <v>11530</v>
      </c>
      <c r="J617" s="411">
        <v>11164</v>
      </c>
      <c r="K617" s="413">
        <v>8032</v>
      </c>
      <c r="L617" s="414">
        <v>21348</v>
      </c>
      <c r="M617" s="411">
        <v>1035</v>
      </c>
      <c r="N617" s="411">
        <v>837</v>
      </c>
      <c r="O617" s="412">
        <v>19104</v>
      </c>
      <c r="P617" s="412">
        <v>9</v>
      </c>
      <c r="Q617" s="413">
        <v>0</v>
      </c>
      <c r="R617" s="381"/>
      <c r="S617" s="390"/>
      <c r="T617" s="383">
        <f t="shared" si="41"/>
        <v>0</v>
      </c>
      <c r="U617" s="384">
        <f t="shared" si="42"/>
        <v>0</v>
      </c>
      <c r="V617" s="388"/>
      <c r="W617" s="389"/>
      <c r="X617" s="391"/>
      <c r="Y617" s="390"/>
      <c r="Z617" s="381"/>
      <c r="AA617" s="388"/>
      <c r="AB617" s="388"/>
      <c r="AC617" s="389"/>
      <c r="AD617" s="389"/>
      <c r="AE617" s="392"/>
      <c r="AF617" s="381"/>
      <c r="AG617" s="389"/>
    </row>
    <row r="618" spans="1:33">
      <c r="A618" s="454" t="s">
        <v>438</v>
      </c>
      <c r="B618" s="453" t="s">
        <v>540</v>
      </c>
      <c r="C618" s="453"/>
      <c r="D618" s="454">
        <v>229832</v>
      </c>
      <c r="E618" s="408">
        <v>10</v>
      </c>
      <c r="F618" s="376">
        <f t="shared" si="39"/>
        <v>45714</v>
      </c>
      <c r="G618" s="377">
        <f t="shared" si="40"/>
        <v>47076</v>
      </c>
      <c r="H618" s="411">
        <v>12706</v>
      </c>
      <c r="I618" s="412">
        <v>12932</v>
      </c>
      <c r="J618" s="411">
        <v>8672</v>
      </c>
      <c r="K618" s="413">
        <v>8828</v>
      </c>
      <c r="L618" s="414">
        <v>19287</v>
      </c>
      <c r="M618" s="411">
        <v>4668</v>
      </c>
      <c r="N618" s="411">
        <v>381</v>
      </c>
      <c r="O618" s="412">
        <v>19628</v>
      </c>
      <c r="P618" s="412">
        <v>5592</v>
      </c>
      <c r="Q618" s="413">
        <v>96</v>
      </c>
      <c r="R618" s="381"/>
      <c r="S618" s="390"/>
      <c r="T618" s="383">
        <f t="shared" si="41"/>
        <v>0</v>
      </c>
      <c r="U618" s="384">
        <f t="shared" si="42"/>
        <v>0</v>
      </c>
      <c r="V618" s="388"/>
      <c r="W618" s="389"/>
      <c r="X618" s="391"/>
      <c r="Y618" s="390"/>
      <c r="Z618" s="381"/>
      <c r="AA618" s="388"/>
      <c r="AB618" s="388"/>
      <c r="AC618" s="389"/>
      <c r="AD618" s="389"/>
      <c r="AE618" s="392"/>
      <c r="AF618" s="381"/>
      <c r="AG618" s="389"/>
    </row>
    <row r="619" spans="1:33" ht="13.5">
      <c r="A619" s="454" t="s">
        <v>438</v>
      </c>
      <c r="B619" s="453" t="s">
        <v>731</v>
      </c>
      <c r="C619" s="577" t="s">
        <v>964</v>
      </c>
      <c r="D619" s="493"/>
      <c r="E619" s="486">
        <v>99</v>
      </c>
      <c r="F619" s="376">
        <f t="shared" si="39"/>
        <v>9877</v>
      </c>
      <c r="G619" s="377">
        <f t="shared" si="40"/>
        <v>31104</v>
      </c>
      <c r="H619" s="388">
        <v>0</v>
      </c>
      <c r="I619" s="389">
        <v>19069</v>
      </c>
      <c r="J619" s="388">
        <v>8383</v>
      </c>
      <c r="K619" s="390">
        <v>2718</v>
      </c>
      <c r="L619" s="381">
        <v>1281</v>
      </c>
      <c r="M619" s="388">
        <v>213</v>
      </c>
      <c r="N619" s="388">
        <v>0</v>
      </c>
      <c r="O619" s="389">
        <v>8919</v>
      </c>
      <c r="P619" s="389">
        <v>398</v>
      </c>
      <c r="Q619" s="390">
        <v>0</v>
      </c>
      <c r="R619" s="381"/>
      <c r="S619" s="390"/>
      <c r="T619" s="383">
        <f t="shared" si="41"/>
        <v>3560</v>
      </c>
      <c r="U619" s="384">
        <f t="shared" si="42"/>
        <v>12184</v>
      </c>
      <c r="V619" s="388">
        <v>0</v>
      </c>
      <c r="W619" s="389">
        <v>9961</v>
      </c>
      <c r="X619" s="391">
        <v>3467</v>
      </c>
      <c r="Y619" s="390">
        <v>264</v>
      </c>
      <c r="Z619" s="381">
        <v>93</v>
      </c>
      <c r="AA619" s="388">
        <v>0</v>
      </c>
      <c r="AB619" s="388">
        <v>0</v>
      </c>
      <c r="AC619" s="389">
        <v>1959</v>
      </c>
      <c r="AD619" s="389">
        <v>0</v>
      </c>
      <c r="AE619" s="392">
        <v>0</v>
      </c>
      <c r="AF619" s="381"/>
      <c r="AG619" s="389"/>
    </row>
    <row r="620" spans="1:33" ht="13.5">
      <c r="A620" s="454" t="s">
        <v>438</v>
      </c>
      <c r="B620" s="453" t="s">
        <v>732</v>
      </c>
      <c r="C620" s="577" t="s">
        <v>965</v>
      </c>
      <c r="D620" s="454" t="s">
        <v>733</v>
      </c>
      <c r="E620" s="486">
        <v>99</v>
      </c>
      <c r="F620" s="376">
        <f t="shared" si="39"/>
        <v>16090</v>
      </c>
      <c r="G620" s="377">
        <f t="shared" si="40"/>
        <v>46866</v>
      </c>
      <c r="H620" s="388">
        <v>15973</v>
      </c>
      <c r="I620" s="389">
        <v>45537</v>
      </c>
      <c r="J620" s="388">
        <v>0</v>
      </c>
      <c r="K620" s="390">
        <v>306</v>
      </c>
      <c r="L620" s="381">
        <v>108</v>
      </c>
      <c r="M620" s="388">
        <v>9</v>
      </c>
      <c r="N620" s="388">
        <v>0</v>
      </c>
      <c r="O620" s="389">
        <v>1023</v>
      </c>
      <c r="P620" s="389">
        <v>0</v>
      </c>
      <c r="Q620" s="390">
        <v>0</v>
      </c>
      <c r="R620" s="381"/>
      <c r="S620" s="390"/>
      <c r="T620" s="383">
        <f t="shared" si="41"/>
        <v>3913</v>
      </c>
      <c r="U620" s="384">
        <f t="shared" si="42"/>
        <v>12635</v>
      </c>
      <c r="V620" s="388">
        <v>3913</v>
      </c>
      <c r="W620" s="389">
        <v>12463</v>
      </c>
      <c r="X620" s="391">
        <v>0</v>
      </c>
      <c r="Y620" s="390">
        <v>0</v>
      </c>
      <c r="Z620" s="381">
        <v>0</v>
      </c>
      <c r="AA620" s="388">
        <v>0</v>
      </c>
      <c r="AB620" s="388">
        <v>0</v>
      </c>
      <c r="AC620" s="389">
        <v>172</v>
      </c>
      <c r="AD620" s="389">
        <v>0</v>
      </c>
      <c r="AE620" s="392">
        <v>0</v>
      </c>
      <c r="AF620" s="381"/>
      <c r="AG620" s="389"/>
    </row>
    <row r="621" spans="1:33" ht="13.5">
      <c r="A621" s="454" t="s">
        <v>438</v>
      </c>
      <c r="B621" s="453" t="s">
        <v>734</v>
      </c>
      <c r="C621" s="577" t="s">
        <v>966</v>
      </c>
      <c r="D621" s="493"/>
      <c r="E621" s="486">
        <v>99</v>
      </c>
      <c r="F621" s="376">
        <f t="shared" si="39"/>
        <v>12575</v>
      </c>
      <c r="G621" s="377">
        <f t="shared" si="40"/>
        <v>27801</v>
      </c>
      <c r="H621" s="388">
        <v>12179</v>
      </c>
      <c r="I621" s="389">
        <v>27657</v>
      </c>
      <c r="J621" s="388">
        <v>396</v>
      </c>
      <c r="K621" s="390">
        <v>144</v>
      </c>
      <c r="L621" s="381">
        <v>0</v>
      </c>
      <c r="M621" s="388">
        <v>0</v>
      </c>
      <c r="N621" s="388">
        <v>0</v>
      </c>
      <c r="O621" s="389">
        <v>0</v>
      </c>
      <c r="P621" s="389">
        <v>0</v>
      </c>
      <c r="Q621" s="390">
        <v>0</v>
      </c>
      <c r="R621" s="381"/>
      <c r="S621" s="390"/>
      <c r="T621" s="383">
        <f t="shared" si="41"/>
        <v>1704</v>
      </c>
      <c r="U621" s="384">
        <f t="shared" si="42"/>
        <v>4498</v>
      </c>
      <c r="V621" s="388">
        <v>1428</v>
      </c>
      <c r="W621" s="389">
        <v>4090</v>
      </c>
      <c r="X621" s="391">
        <v>237</v>
      </c>
      <c r="Y621" s="390">
        <v>312</v>
      </c>
      <c r="Z621" s="381">
        <v>0</v>
      </c>
      <c r="AA621" s="388">
        <v>39</v>
      </c>
      <c r="AB621" s="388">
        <v>0</v>
      </c>
      <c r="AC621" s="389">
        <v>0</v>
      </c>
      <c r="AD621" s="389">
        <v>96</v>
      </c>
      <c r="AE621" s="392">
        <v>0</v>
      </c>
      <c r="AF621" s="381"/>
      <c r="AG621" s="389"/>
    </row>
    <row r="622" spans="1:33" s="404" customFormat="1" ht="12.75" customHeight="1">
      <c r="A622" s="459" t="s">
        <v>542</v>
      </c>
      <c r="B622" s="456" t="s">
        <v>735</v>
      </c>
      <c r="C622" s="456"/>
      <c r="D622" s="459">
        <v>232186</v>
      </c>
      <c r="E622" s="419">
        <v>1</v>
      </c>
      <c r="F622" s="376">
        <f t="shared" si="39"/>
        <v>0</v>
      </c>
      <c r="G622" s="377">
        <f t="shared" si="40"/>
        <v>546706.5</v>
      </c>
      <c r="H622" s="388"/>
      <c r="I622" s="389">
        <v>521158</v>
      </c>
      <c r="J622" s="388"/>
      <c r="K622" s="390">
        <v>11373.5</v>
      </c>
      <c r="L622" s="381"/>
      <c r="M622" s="388"/>
      <c r="N622" s="388"/>
      <c r="O622" s="389">
        <v>13560</v>
      </c>
      <c r="P622" s="389">
        <v>615</v>
      </c>
      <c r="Q622" s="390">
        <v>0</v>
      </c>
      <c r="R622" s="381"/>
      <c r="S622" s="390"/>
      <c r="T622" s="383">
        <f t="shared" si="41"/>
        <v>0</v>
      </c>
      <c r="U622" s="384">
        <f t="shared" si="42"/>
        <v>170127.99999999889</v>
      </c>
      <c r="V622" s="388"/>
      <c r="W622" s="389">
        <v>136925.399999999</v>
      </c>
      <c r="X622" s="391"/>
      <c r="Y622" s="390">
        <v>23855.5999999999</v>
      </c>
      <c r="Z622" s="381"/>
      <c r="AA622" s="388"/>
      <c r="AB622" s="388"/>
      <c r="AC622" s="389">
        <v>7947.5</v>
      </c>
      <c r="AD622" s="389">
        <v>1399.5</v>
      </c>
      <c r="AE622" s="392">
        <v>0</v>
      </c>
      <c r="AF622" s="381"/>
      <c r="AG622" s="389">
        <v>0</v>
      </c>
    </row>
    <row r="623" spans="1:33" s="428" customFormat="1" ht="12.75" customHeight="1">
      <c r="A623" s="459" t="s">
        <v>542</v>
      </c>
      <c r="B623" s="456" t="s">
        <v>736</v>
      </c>
      <c r="C623" s="456"/>
      <c r="D623" s="459">
        <v>232982</v>
      </c>
      <c r="E623" s="419">
        <v>1</v>
      </c>
      <c r="F623" s="376">
        <f t="shared" si="39"/>
        <v>0</v>
      </c>
      <c r="G623" s="377">
        <f t="shared" si="40"/>
        <v>484643</v>
      </c>
      <c r="H623" s="388"/>
      <c r="I623" s="389">
        <v>424035</v>
      </c>
      <c r="J623" s="388"/>
      <c r="K623" s="390">
        <v>423</v>
      </c>
      <c r="L623" s="381"/>
      <c r="M623" s="388"/>
      <c r="N623" s="388"/>
      <c r="O623" s="389">
        <v>25379</v>
      </c>
      <c r="P623" s="389">
        <v>34806</v>
      </c>
      <c r="Q623" s="390">
        <v>0</v>
      </c>
      <c r="R623" s="381"/>
      <c r="S623" s="390"/>
      <c r="T623" s="383">
        <f t="shared" si="41"/>
        <v>0</v>
      </c>
      <c r="U623" s="384">
        <f t="shared" si="42"/>
        <v>78185</v>
      </c>
      <c r="V623" s="388"/>
      <c r="W623" s="389">
        <v>53943</v>
      </c>
      <c r="X623" s="391"/>
      <c r="Y623" s="390">
        <v>1906</v>
      </c>
      <c r="Z623" s="381"/>
      <c r="AA623" s="388"/>
      <c r="AB623" s="388"/>
      <c r="AC623" s="389">
        <v>10525</v>
      </c>
      <c r="AD623" s="389">
        <v>11811</v>
      </c>
      <c r="AE623" s="392">
        <v>0</v>
      </c>
      <c r="AF623" s="381"/>
      <c r="AG623" s="389">
        <v>0</v>
      </c>
    </row>
    <row r="624" spans="1:33" s="428" customFormat="1" ht="12.75" customHeight="1">
      <c r="A624" s="459" t="s">
        <v>542</v>
      </c>
      <c r="B624" s="456" t="s">
        <v>737</v>
      </c>
      <c r="C624" s="456"/>
      <c r="D624" s="459">
        <v>234076</v>
      </c>
      <c r="E624" s="419">
        <v>1</v>
      </c>
      <c r="F624" s="376">
        <f t="shared" si="39"/>
        <v>0</v>
      </c>
      <c r="G624" s="377">
        <f t="shared" si="40"/>
        <v>462973</v>
      </c>
      <c r="H624" s="388"/>
      <c r="I624" s="389">
        <v>418800</v>
      </c>
      <c r="J624" s="388"/>
      <c r="K624" s="390">
        <v>41409</v>
      </c>
      <c r="L624" s="381"/>
      <c r="M624" s="388"/>
      <c r="N624" s="388"/>
      <c r="O624" s="389">
        <v>2764</v>
      </c>
      <c r="P624" s="389">
        <v>0</v>
      </c>
      <c r="Q624" s="390">
        <v>0</v>
      </c>
      <c r="R624" s="381"/>
      <c r="S624" s="390"/>
      <c r="T624" s="383">
        <f t="shared" si="41"/>
        <v>0</v>
      </c>
      <c r="U624" s="384">
        <f t="shared" si="42"/>
        <v>202178.899999999</v>
      </c>
      <c r="V624" s="388"/>
      <c r="W624" s="389">
        <v>172639.899999999</v>
      </c>
      <c r="X624" s="391"/>
      <c r="Y624" s="390">
        <v>20521</v>
      </c>
      <c r="Z624" s="381"/>
      <c r="AA624" s="388"/>
      <c r="AB624" s="388"/>
      <c r="AC624" s="389">
        <v>8112</v>
      </c>
      <c r="AD624" s="389">
        <v>906</v>
      </c>
      <c r="AE624" s="392">
        <v>0</v>
      </c>
      <c r="AF624" s="381"/>
      <c r="AG624" s="389">
        <v>0</v>
      </c>
    </row>
    <row r="625" spans="1:33" s="428" customFormat="1" ht="12.75" customHeight="1">
      <c r="A625" s="459" t="s">
        <v>542</v>
      </c>
      <c r="B625" s="456" t="s">
        <v>738</v>
      </c>
      <c r="C625" s="456"/>
      <c r="D625" s="459">
        <v>233921</v>
      </c>
      <c r="E625" s="419">
        <v>1</v>
      </c>
      <c r="F625" s="376">
        <f t="shared" si="39"/>
        <v>0</v>
      </c>
      <c r="G625" s="377">
        <f t="shared" si="40"/>
        <v>745331</v>
      </c>
      <c r="H625" s="388"/>
      <c r="I625" s="389">
        <v>735345</v>
      </c>
      <c r="J625" s="388"/>
      <c r="K625" s="390">
        <v>398</v>
      </c>
      <c r="L625" s="381"/>
      <c r="M625" s="388"/>
      <c r="N625" s="388"/>
      <c r="O625" s="389">
        <v>8610</v>
      </c>
      <c r="P625" s="389">
        <v>978</v>
      </c>
      <c r="Q625" s="390">
        <v>0</v>
      </c>
      <c r="R625" s="381"/>
      <c r="S625" s="390"/>
      <c r="T625" s="383">
        <f t="shared" si="41"/>
        <v>0</v>
      </c>
      <c r="U625" s="384">
        <f t="shared" si="42"/>
        <v>145263</v>
      </c>
      <c r="V625" s="388"/>
      <c r="W625" s="389">
        <v>109969</v>
      </c>
      <c r="X625" s="391"/>
      <c r="Y625" s="390">
        <v>20486</v>
      </c>
      <c r="Z625" s="381"/>
      <c r="AA625" s="388"/>
      <c r="AB625" s="388"/>
      <c r="AC625" s="389">
        <v>10227</v>
      </c>
      <c r="AD625" s="389">
        <v>4581</v>
      </c>
      <c r="AE625" s="392">
        <v>0</v>
      </c>
      <c r="AF625" s="381"/>
      <c r="AG625" s="389">
        <v>0</v>
      </c>
    </row>
    <row r="626" spans="1:33" s="428" customFormat="1" ht="12.75" customHeight="1">
      <c r="A626" s="459" t="s">
        <v>542</v>
      </c>
      <c r="B626" s="456" t="s">
        <v>739</v>
      </c>
      <c r="C626" s="456"/>
      <c r="D626" s="459">
        <v>231624</v>
      </c>
      <c r="E626" s="419">
        <v>2</v>
      </c>
      <c r="F626" s="376">
        <f t="shared" si="39"/>
        <v>0</v>
      </c>
      <c r="G626" s="377">
        <f t="shared" si="40"/>
        <v>169436.5</v>
      </c>
      <c r="H626" s="388"/>
      <c r="I626" s="389">
        <v>168765.5</v>
      </c>
      <c r="J626" s="388"/>
      <c r="K626" s="390">
        <v>671</v>
      </c>
      <c r="L626" s="381"/>
      <c r="M626" s="388"/>
      <c r="N626" s="388"/>
      <c r="O626" s="389">
        <v>0</v>
      </c>
      <c r="P626" s="389">
        <v>0</v>
      </c>
      <c r="Q626" s="390">
        <v>0</v>
      </c>
      <c r="R626" s="381"/>
      <c r="S626" s="390"/>
      <c r="T626" s="383">
        <f t="shared" si="41"/>
        <v>0</v>
      </c>
      <c r="U626" s="384">
        <f t="shared" si="42"/>
        <v>54173</v>
      </c>
      <c r="V626" s="388"/>
      <c r="W626" s="389">
        <v>50819</v>
      </c>
      <c r="X626" s="391"/>
      <c r="Y626" s="390">
        <v>3354</v>
      </c>
      <c r="Z626" s="381"/>
      <c r="AA626" s="388"/>
      <c r="AB626" s="388"/>
      <c r="AC626" s="389">
        <v>0</v>
      </c>
      <c r="AD626" s="389">
        <v>0</v>
      </c>
      <c r="AE626" s="392">
        <v>0</v>
      </c>
      <c r="AF626" s="381"/>
      <c r="AG626" s="389">
        <v>0</v>
      </c>
    </row>
    <row r="627" spans="1:33" s="428" customFormat="1" ht="12.75" customHeight="1">
      <c r="A627" s="459" t="s">
        <v>542</v>
      </c>
      <c r="B627" s="456" t="s">
        <v>740</v>
      </c>
      <c r="C627" s="456"/>
      <c r="D627" s="459">
        <v>234030</v>
      </c>
      <c r="E627" s="419">
        <v>2</v>
      </c>
      <c r="F627" s="376">
        <f t="shared" si="39"/>
        <v>0</v>
      </c>
      <c r="G627" s="377">
        <f t="shared" si="40"/>
        <v>648362.5</v>
      </c>
      <c r="H627" s="388"/>
      <c r="I627" s="389">
        <v>624894.5</v>
      </c>
      <c r="J627" s="388"/>
      <c r="K627" s="390">
        <v>7888</v>
      </c>
      <c r="L627" s="381"/>
      <c r="M627" s="388"/>
      <c r="N627" s="388"/>
      <c r="O627" s="389">
        <v>15580</v>
      </c>
      <c r="P627" s="389">
        <v>0</v>
      </c>
      <c r="Q627" s="390">
        <v>0</v>
      </c>
      <c r="R627" s="381"/>
      <c r="S627" s="390"/>
      <c r="T627" s="383">
        <f t="shared" si="41"/>
        <v>0</v>
      </c>
      <c r="U627" s="384">
        <f t="shared" si="42"/>
        <v>146465.5</v>
      </c>
      <c r="V627" s="388"/>
      <c r="W627" s="389">
        <v>121330.5</v>
      </c>
      <c r="X627" s="391"/>
      <c r="Y627" s="390">
        <v>17085</v>
      </c>
      <c r="Z627" s="381"/>
      <c r="AA627" s="388"/>
      <c r="AB627" s="388"/>
      <c r="AC627" s="389">
        <v>8050</v>
      </c>
      <c r="AD627" s="389">
        <v>0</v>
      </c>
      <c r="AE627" s="392">
        <v>0</v>
      </c>
      <c r="AF627" s="381"/>
      <c r="AG627" s="389">
        <v>0</v>
      </c>
    </row>
    <row r="628" spans="1:33" s="428" customFormat="1" ht="12.75" customHeight="1">
      <c r="A628" s="459" t="s">
        <v>542</v>
      </c>
      <c r="B628" s="456" t="s">
        <v>741</v>
      </c>
      <c r="C628" s="456"/>
      <c r="D628" s="459">
        <v>232423</v>
      </c>
      <c r="E628" s="419">
        <v>3</v>
      </c>
      <c r="F628" s="376">
        <f t="shared" si="39"/>
        <v>0</v>
      </c>
      <c r="G628" s="377">
        <f t="shared" si="40"/>
        <v>522097</v>
      </c>
      <c r="H628" s="388"/>
      <c r="I628" s="389">
        <v>505528</v>
      </c>
      <c r="J628" s="388"/>
      <c r="K628" s="390">
        <v>7300</v>
      </c>
      <c r="L628" s="381"/>
      <c r="M628" s="388"/>
      <c r="N628" s="388"/>
      <c r="O628" s="389">
        <v>9269</v>
      </c>
      <c r="P628" s="389">
        <v>0</v>
      </c>
      <c r="Q628" s="390">
        <v>0</v>
      </c>
      <c r="R628" s="381"/>
      <c r="S628" s="390"/>
      <c r="T628" s="383">
        <f t="shared" si="41"/>
        <v>0</v>
      </c>
      <c r="U628" s="384">
        <f t="shared" si="42"/>
        <v>32972</v>
      </c>
      <c r="V628" s="388"/>
      <c r="W628" s="389">
        <v>26752</v>
      </c>
      <c r="X628" s="391"/>
      <c r="Y628" s="390">
        <v>2910</v>
      </c>
      <c r="Z628" s="381"/>
      <c r="AA628" s="388"/>
      <c r="AB628" s="388"/>
      <c r="AC628" s="389">
        <v>3300</v>
      </c>
      <c r="AD628" s="389">
        <v>10</v>
      </c>
      <c r="AE628" s="392">
        <v>0</v>
      </c>
      <c r="AF628" s="381"/>
      <c r="AG628" s="389">
        <v>0</v>
      </c>
    </row>
    <row r="629" spans="1:33" s="428" customFormat="1" ht="12.75" customHeight="1">
      <c r="A629" s="459" t="s">
        <v>542</v>
      </c>
      <c r="B629" s="456" t="s">
        <v>742</v>
      </c>
      <c r="C629" s="456"/>
      <c r="D629" s="459">
        <v>232937</v>
      </c>
      <c r="E629" s="419">
        <v>3</v>
      </c>
      <c r="F629" s="376">
        <f t="shared" si="39"/>
        <v>0</v>
      </c>
      <c r="G629" s="377">
        <f t="shared" si="40"/>
        <v>145531</v>
      </c>
      <c r="H629" s="388"/>
      <c r="I629" s="389">
        <v>136041</v>
      </c>
      <c r="J629" s="388"/>
      <c r="K629" s="390">
        <v>0</v>
      </c>
      <c r="L629" s="381"/>
      <c r="M629" s="388"/>
      <c r="N629" s="388"/>
      <c r="O629" s="389">
        <v>9490</v>
      </c>
      <c r="P629" s="389">
        <v>0</v>
      </c>
      <c r="Q629" s="390">
        <v>0</v>
      </c>
      <c r="R629" s="381"/>
      <c r="S629" s="390"/>
      <c r="T629" s="383">
        <f t="shared" si="41"/>
        <v>0</v>
      </c>
      <c r="U629" s="384">
        <f t="shared" si="42"/>
        <v>12457</v>
      </c>
      <c r="V629" s="388"/>
      <c r="W629" s="389">
        <v>11578</v>
      </c>
      <c r="X629" s="391"/>
      <c r="Y629" s="390">
        <v>0</v>
      </c>
      <c r="Z629" s="381"/>
      <c r="AA629" s="388"/>
      <c r="AB629" s="388"/>
      <c r="AC629" s="389">
        <v>879</v>
      </c>
      <c r="AD629" s="389">
        <v>0</v>
      </c>
      <c r="AE629" s="392">
        <v>0</v>
      </c>
      <c r="AF629" s="381"/>
      <c r="AG629" s="389">
        <v>0</v>
      </c>
    </row>
    <row r="630" spans="1:33" s="428" customFormat="1" ht="12.75" customHeight="1">
      <c r="A630" s="459" t="s">
        <v>542</v>
      </c>
      <c r="B630" s="456" t="s">
        <v>743</v>
      </c>
      <c r="C630" s="456"/>
      <c r="D630" s="459">
        <v>233277</v>
      </c>
      <c r="E630" s="419">
        <v>4</v>
      </c>
      <c r="F630" s="376">
        <f t="shared" si="39"/>
        <v>0</v>
      </c>
      <c r="G630" s="377">
        <f t="shared" si="40"/>
        <v>235610</v>
      </c>
      <c r="H630" s="388"/>
      <c r="I630" s="389">
        <v>227686</v>
      </c>
      <c r="J630" s="388"/>
      <c r="K630" s="390">
        <v>5953</v>
      </c>
      <c r="L630" s="381"/>
      <c r="M630" s="388"/>
      <c r="N630" s="388"/>
      <c r="O630" s="389">
        <v>1257</v>
      </c>
      <c r="P630" s="389">
        <v>714</v>
      </c>
      <c r="Q630" s="390">
        <v>0</v>
      </c>
      <c r="R630" s="381"/>
      <c r="S630" s="390"/>
      <c r="T630" s="383">
        <f t="shared" si="41"/>
        <v>0</v>
      </c>
      <c r="U630" s="384">
        <f t="shared" si="42"/>
        <v>19948</v>
      </c>
      <c r="V630" s="388"/>
      <c r="W630" s="389">
        <v>15503</v>
      </c>
      <c r="X630" s="391"/>
      <c r="Y630" s="390">
        <v>3207</v>
      </c>
      <c r="Z630" s="381"/>
      <c r="AA630" s="388"/>
      <c r="AB630" s="388"/>
      <c r="AC630" s="389">
        <v>317</v>
      </c>
      <c r="AD630" s="389">
        <v>921</v>
      </c>
      <c r="AE630" s="392">
        <v>0</v>
      </c>
      <c r="AF630" s="381"/>
      <c r="AG630" s="389">
        <v>0</v>
      </c>
    </row>
    <row r="631" spans="1:33" s="428" customFormat="1" ht="12.75" customHeight="1">
      <c r="A631" s="459" t="s">
        <v>542</v>
      </c>
      <c r="B631" s="456" t="s">
        <v>744</v>
      </c>
      <c r="C631" s="456"/>
      <c r="D631" s="459">
        <v>234155</v>
      </c>
      <c r="E631" s="419">
        <v>4</v>
      </c>
      <c r="F631" s="376">
        <f t="shared" si="39"/>
        <v>0</v>
      </c>
      <c r="G631" s="377">
        <f t="shared" si="40"/>
        <v>152509</v>
      </c>
      <c r="H631" s="388"/>
      <c r="I631" s="389">
        <v>148062</v>
      </c>
      <c r="J631" s="388"/>
      <c r="K631" s="390">
        <v>2916</v>
      </c>
      <c r="L631" s="381"/>
      <c r="M631" s="388"/>
      <c r="N631" s="388"/>
      <c r="O631" s="389">
        <v>1531</v>
      </c>
      <c r="P631" s="389">
        <v>0</v>
      </c>
      <c r="Q631" s="390">
        <v>0</v>
      </c>
      <c r="R631" s="381"/>
      <c r="S631" s="390"/>
      <c r="T631" s="383">
        <f t="shared" si="41"/>
        <v>0</v>
      </c>
      <c r="U631" s="384">
        <f t="shared" si="42"/>
        <v>9563</v>
      </c>
      <c r="V631" s="388"/>
      <c r="W631" s="389">
        <v>7526</v>
      </c>
      <c r="X631" s="391"/>
      <c r="Y631" s="390">
        <v>1788</v>
      </c>
      <c r="Z631" s="381"/>
      <c r="AA631" s="388"/>
      <c r="AB631" s="388"/>
      <c r="AC631" s="389">
        <v>249</v>
      </c>
      <c r="AD631" s="389">
        <v>0</v>
      </c>
      <c r="AE631" s="392">
        <v>0</v>
      </c>
      <c r="AF631" s="381"/>
      <c r="AG631" s="389">
        <v>0</v>
      </c>
    </row>
    <row r="632" spans="1:33" s="428" customFormat="1" ht="12.75" customHeight="1">
      <c r="A632" s="459" t="s">
        <v>542</v>
      </c>
      <c r="B632" s="456" t="s">
        <v>745</v>
      </c>
      <c r="C632" s="456"/>
      <c r="D632" s="459">
        <v>231712</v>
      </c>
      <c r="E632" s="419">
        <v>5</v>
      </c>
      <c r="F632" s="376">
        <f t="shared" si="39"/>
        <v>0</v>
      </c>
      <c r="G632" s="377">
        <f t="shared" si="40"/>
        <v>138094</v>
      </c>
      <c r="H632" s="388"/>
      <c r="I632" s="389">
        <v>136161</v>
      </c>
      <c r="J632" s="388"/>
      <c r="K632" s="390">
        <v>345</v>
      </c>
      <c r="L632" s="381"/>
      <c r="M632" s="388"/>
      <c r="N632" s="388"/>
      <c r="O632" s="389">
        <v>1588</v>
      </c>
      <c r="P632" s="389">
        <v>0</v>
      </c>
      <c r="Q632" s="390">
        <v>0</v>
      </c>
      <c r="R632" s="381"/>
      <c r="S632" s="390"/>
      <c r="T632" s="383">
        <f t="shared" si="41"/>
        <v>0</v>
      </c>
      <c r="U632" s="384">
        <f t="shared" si="42"/>
        <v>4215</v>
      </c>
      <c r="V632" s="388"/>
      <c r="W632" s="389">
        <v>4119</v>
      </c>
      <c r="X632" s="391"/>
      <c r="Y632" s="390">
        <v>96</v>
      </c>
      <c r="Z632" s="381"/>
      <c r="AA632" s="388"/>
      <c r="AB632" s="388"/>
      <c r="AC632" s="389">
        <v>0</v>
      </c>
      <c r="AD632" s="389">
        <v>0</v>
      </c>
      <c r="AE632" s="392">
        <v>0</v>
      </c>
      <c r="AF632" s="381"/>
      <c r="AG632" s="389">
        <v>0</v>
      </c>
    </row>
    <row r="633" spans="1:33" s="428" customFormat="1" ht="12.75" customHeight="1">
      <c r="A633" s="459" t="s">
        <v>542</v>
      </c>
      <c r="B633" s="553" t="s">
        <v>746</v>
      </c>
      <c r="C633" s="587" t="s">
        <v>968</v>
      </c>
      <c r="D633" s="459">
        <v>232566</v>
      </c>
      <c r="E633" s="554">
        <v>4</v>
      </c>
      <c r="F633" s="376">
        <f t="shared" si="39"/>
        <v>0</v>
      </c>
      <c r="G633" s="377">
        <f t="shared" si="40"/>
        <v>124398</v>
      </c>
      <c r="H633" s="388"/>
      <c r="I633" s="389">
        <v>116807</v>
      </c>
      <c r="J633" s="388"/>
      <c r="K633" s="390">
        <v>768</v>
      </c>
      <c r="L633" s="381"/>
      <c r="M633" s="388"/>
      <c r="N633" s="388"/>
      <c r="O633" s="389">
        <v>6823</v>
      </c>
      <c r="P633" s="389">
        <v>0</v>
      </c>
      <c r="Q633" s="390">
        <v>0</v>
      </c>
      <c r="R633" s="381"/>
      <c r="S633" s="390"/>
      <c r="T633" s="383">
        <f t="shared" si="41"/>
        <v>0</v>
      </c>
      <c r="U633" s="384">
        <f t="shared" si="42"/>
        <v>8191</v>
      </c>
      <c r="V633" s="388"/>
      <c r="W633" s="389">
        <v>4299</v>
      </c>
      <c r="X633" s="391"/>
      <c r="Y633" s="390">
        <v>2981</v>
      </c>
      <c r="Z633" s="381"/>
      <c r="AA633" s="388"/>
      <c r="AB633" s="388"/>
      <c r="AC633" s="389">
        <v>911</v>
      </c>
      <c r="AD633" s="389">
        <v>0</v>
      </c>
      <c r="AE633" s="392">
        <v>0</v>
      </c>
      <c r="AF633" s="381"/>
      <c r="AG633" s="389">
        <v>0</v>
      </c>
    </row>
    <row r="634" spans="1:33" s="428" customFormat="1" ht="12.75" customHeight="1">
      <c r="A634" s="459" t="s">
        <v>542</v>
      </c>
      <c r="B634" s="456" t="s">
        <v>747</v>
      </c>
      <c r="C634" s="456"/>
      <c r="D634" s="459">
        <v>232681</v>
      </c>
      <c r="E634" s="419">
        <v>5</v>
      </c>
      <c r="F634" s="376">
        <f t="shared" si="39"/>
        <v>0</v>
      </c>
      <c r="G634" s="377">
        <f t="shared" si="40"/>
        <v>126229</v>
      </c>
      <c r="H634" s="388"/>
      <c r="I634" s="389">
        <v>122084</v>
      </c>
      <c r="J634" s="388"/>
      <c r="K634" s="390">
        <v>0</v>
      </c>
      <c r="L634" s="381"/>
      <c r="M634" s="388"/>
      <c r="N634" s="388"/>
      <c r="O634" s="389">
        <v>4022</v>
      </c>
      <c r="P634" s="389">
        <v>123</v>
      </c>
      <c r="Q634" s="390">
        <v>0</v>
      </c>
      <c r="R634" s="381"/>
      <c r="S634" s="390"/>
      <c r="T634" s="383">
        <f t="shared" si="41"/>
        <v>0</v>
      </c>
      <c r="U634" s="384">
        <f t="shared" si="42"/>
        <v>10857</v>
      </c>
      <c r="V634" s="388"/>
      <c r="W634" s="389">
        <v>9170</v>
      </c>
      <c r="X634" s="391"/>
      <c r="Y634" s="390">
        <v>0</v>
      </c>
      <c r="Z634" s="381"/>
      <c r="AA634" s="388"/>
      <c r="AB634" s="388"/>
      <c r="AC634" s="389">
        <v>1687</v>
      </c>
      <c r="AD634" s="389">
        <v>0</v>
      </c>
      <c r="AE634" s="392">
        <v>0</v>
      </c>
      <c r="AF634" s="381"/>
      <c r="AG634" s="389">
        <v>0</v>
      </c>
    </row>
    <row r="635" spans="1:33" s="428" customFormat="1" ht="12.75" customHeight="1">
      <c r="A635" s="459" t="s">
        <v>542</v>
      </c>
      <c r="B635" s="456" t="s">
        <v>748</v>
      </c>
      <c r="C635" s="456"/>
      <c r="D635" s="459">
        <v>233897</v>
      </c>
      <c r="E635" s="419">
        <v>6</v>
      </c>
      <c r="F635" s="376">
        <f t="shared" si="39"/>
        <v>0</v>
      </c>
      <c r="G635" s="377">
        <f t="shared" si="40"/>
        <v>50690.3</v>
      </c>
      <c r="H635" s="388"/>
      <c r="I635" s="389">
        <v>48171.3</v>
      </c>
      <c r="J635" s="388"/>
      <c r="K635" s="390">
        <v>499</v>
      </c>
      <c r="L635" s="381"/>
      <c r="M635" s="388"/>
      <c r="N635" s="388"/>
      <c r="O635" s="389">
        <v>2020</v>
      </c>
      <c r="P635" s="389">
        <v>0</v>
      </c>
      <c r="Q635" s="390">
        <v>0</v>
      </c>
      <c r="R635" s="381"/>
      <c r="S635" s="390"/>
      <c r="T635" s="383">
        <f t="shared" si="41"/>
        <v>0</v>
      </c>
      <c r="U635" s="384">
        <f t="shared" si="42"/>
        <v>0</v>
      </c>
      <c r="V635" s="388"/>
      <c r="W635" s="389">
        <v>0</v>
      </c>
      <c r="X635" s="391"/>
      <c r="Y635" s="390">
        <v>0</v>
      </c>
      <c r="Z635" s="381"/>
      <c r="AA635" s="388"/>
      <c r="AB635" s="388"/>
      <c r="AC635" s="389">
        <v>0</v>
      </c>
      <c r="AD635" s="389">
        <v>0</v>
      </c>
      <c r="AE635" s="392">
        <v>0</v>
      </c>
      <c r="AF635" s="381"/>
      <c r="AG635" s="389">
        <v>0</v>
      </c>
    </row>
    <row r="636" spans="1:33" s="428" customFormat="1" ht="12.75" customHeight="1">
      <c r="A636" s="459" t="s">
        <v>542</v>
      </c>
      <c r="B636" s="456" t="s">
        <v>749</v>
      </c>
      <c r="C636" s="456"/>
      <c r="D636" s="459">
        <v>232414</v>
      </c>
      <c r="E636" s="419">
        <v>8</v>
      </c>
      <c r="F636" s="376">
        <f t="shared" si="39"/>
        <v>0</v>
      </c>
      <c r="G636" s="377">
        <f t="shared" si="40"/>
        <v>244230</v>
      </c>
      <c r="H636" s="388"/>
      <c r="I636" s="389">
        <v>172158</v>
      </c>
      <c r="J636" s="388"/>
      <c r="K636" s="390">
        <v>15398</v>
      </c>
      <c r="L636" s="381"/>
      <c r="M636" s="388"/>
      <c r="N636" s="388"/>
      <c r="O636" s="389">
        <v>56524</v>
      </c>
      <c r="P636" s="389">
        <v>150</v>
      </c>
      <c r="Q636" s="390">
        <v>0</v>
      </c>
      <c r="R636" s="381"/>
      <c r="S636" s="390"/>
      <c r="T636" s="383">
        <f t="shared" si="41"/>
        <v>0</v>
      </c>
      <c r="U636" s="384">
        <f t="shared" si="42"/>
        <v>0</v>
      </c>
      <c r="V636" s="388"/>
      <c r="W636" s="389">
        <v>0</v>
      </c>
      <c r="X636" s="391"/>
      <c r="Y636" s="390">
        <v>0</v>
      </c>
      <c r="Z636" s="381"/>
      <c r="AA636" s="388"/>
      <c r="AB636" s="388"/>
      <c r="AC636" s="389">
        <v>0</v>
      </c>
      <c r="AD636" s="389">
        <v>0</v>
      </c>
      <c r="AE636" s="392">
        <v>0</v>
      </c>
      <c r="AF636" s="381"/>
      <c r="AG636" s="389">
        <v>0</v>
      </c>
    </row>
    <row r="637" spans="1:33" s="428" customFormat="1" ht="12.75" customHeight="1">
      <c r="A637" s="459" t="s">
        <v>542</v>
      </c>
      <c r="B637" s="456" t="s">
        <v>750</v>
      </c>
      <c r="C637" s="456"/>
      <c r="D637" s="459">
        <v>232946</v>
      </c>
      <c r="E637" s="419">
        <v>8</v>
      </c>
      <c r="F637" s="376">
        <f t="shared" si="39"/>
        <v>0</v>
      </c>
      <c r="G637" s="377">
        <f t="shared" si="40"/>
        <v>1001401</v>
      </c>
      <c r="H637" s="388"/>
      <c r="I637" s="389">
        <v>735603</v>
      </c>
      <c r="J637" s="388"/>
      <c r="K637" s="390">
        <v>55892</v>
      </c>
      <c r="L637" s="381"/>
      <c r="M637" s="388"/>
      <c r="N637" s="388"/>
      <c r="O637" s="389">
        <v>204659</v>
      </c>
      <c r="P637" s="389">
        <v>5247</v>
      </c>
      <c r="Q637" s="390">
        <v>0</v>
      </c>
      <c r="R637" s="381"/>
      <c r="S637" s="390"/>
      <c r="T637" s="383">
        <f t="shared" si="41"/>
        <v>0</v>
      </c>
      <c r="U637" s="384">
        <f t="shared" si="42"/>
        <v>0</v>
      </c>
      <c r="V637" s="388"/>
      <c r="W637" s="389">
        <v>0</v>
      </c>
      <c r="X637" s="391"/>
      <c r="Y637" s="390">
        <v>0</v>
      </c>
      <c r="Z637" s="381"/>
      <c r="AA637" s="388"/>
      <c r="AB637" s="388"/>
      <c r="AC637" s="389">
        <v>0</v>
      </c>
      <c r="AD637" s="389">
        <v>0</v>
      </c>
      <c r="AE637" s="392">
        <v>0</v>
      </c>
      <c r="AF637" s="381"/>
      <c r="AG637" s="389">
        <v>0</v>
      </c>
    </row>
    <row r="638" spans="1:33" s="428" customFormat="1" ht="12.75" customHeight="1">
      <c r="A638" s="459" t="s">
        <v>542</v>
      </c>
      <c r="B638" s="456" t="s">
        <v>751</v>
      </c>
      <c r="C638" s="456"/>
      <c r="D638" s="459">
        <v>233754</v>
      </c>
      <c r="E638" s="419">
        <v>8</v>
      </c>
      <c r="F638" s="376">
        <f t="shared" si="39"/>
        <v>0</v>
      </c>
      <c r="G638" s="377">
        <f t="shared" si="40"/>
        <v>204930</v>
      </c>
      <c r="H638" s="388"/>
      <c r="I638" s="389">
        <v>149305</v>
      </c>
      <c r="J638" s="388"/>
      <c r="K638" s="390">
        <v>17013</v>
      </c>
      <c r="L638" s="381"/>
      <c r="M638" s="388"/>
      <c r="N638" s="388"/>
      <c r="O638" s="389">
        <v>38173</v>
      </c>
      <c r="P638" s="389">
        <v>439</v>
      </c>
      <c r="Q638" s="390">
        <v>0</v>
      </c>
      <c r="R638" s="381"/>
      <c r="S638" s="390"/>
      <c r="T638" s="383">
        <f t="shared" si="41"/>
        <v>0</v>
      </c>
      <c r="U638" s="384">
        <f t="shared" si="42"/>
        <v>0</v>
      </c>
      <c r="V638" s="388"/>
      <c r="W638" s="389">
        <v>0</v>
      </c>
      <c r="X638" s="391"/>
      <c r="Y638" s="390">
        <v>0</v>
      </c>
      <c r="Z638" s="381"/>
      <c r="AA638" s="388"/>
      <c r="AB638" s="388"/>
      <c r="AC638" s="389">
        <v>0</v>
      </c>
      <c r="AD638" s="389">
        <v>0</v>
      </c>
      <c r="AE638" s="392">
        <v>0</v>
      </c>
      <c r="AF638" s="381"/>
      <c r="AG638" s="389">
        <v>0</v>
      </c>
    </row>
    <row r="639" spans="1:33" s="428" customFormat="1" ht="12.75" customHeight="1">
      <c r="A639" s="459" t="s">
        <v>542</v>
      </c>
      <c r="B639" s="456" t="s">
        <v>752</v>
      </c>
      <c r="C639" s="456"/>
      <c r="D639" s="459">
        <v>233772</v>
      </c>
      <c r="E639" s="419">
        <v>8</v>
      </c>
      <c r="F639" s="376">
        <f t="shared" si="39"/>
        <v>0</v>
      </c>
      <c r="G639" s="377">
        <f t="shared" si="40"/>
        <v>657783</v>
      </c>
      <c r="H639" s="388"/>
      <c r="I639" s="389">
        <v>443134</v>
      </c>
      <c r="J639" s="388"/>
      <c r="K639" s="390">
        <v>44119</v>
      </c>
      <c r="L639" s="381"/>
      <c r="M639" s="388"/>
      <c r="N639" s="388"/>
      <c r="O639" s="389">
        <v>170530</v>
      </c>
      <c r="P639" s="389">
        <v>0</v>
      </c>
      <c r="Q639" s="390">
        <v>0</v>
      </c>
      <c r="R639" s="381"/>
      <c r="S639" s="390"/>
      <c r="T639" s="383">
        <f t="shared" si="41"/>
        <v>0</v>
      </c>
      <c r="U639" s="384">
        <f t="shared" si="42"/>
        <v>0</v>
      </c>
      <c r="V639" s="388"/>
      <c r="W639" s="389">
        <v>0</v>
      </c>
      <c r="X639" s="391"/>
      <c r="Y639" s="390">
        <v>0</v>
      </c>
      <c r="Z639" s="381"/>
      <c r="AA639" s="388"/>
      <c r="AB639" s="388"/>
      <c r="AC639" s="389">
        <v>0</v>
      </c>
      <c r="AD639" s="389">
        <v>0</v>
      </c>
      <c r="AE639" s="392">
        <v>0</v>
      </c>
      <c r="AF639" s="381"/>
      <c r="AG639" s="389">
        <v>0</v>
      </c>
    </row>
    <row r="640" spans="1:33" s="428" customFormat="1" ht="12.75" customHeight="1">
      <c r="A640" s="459" t="s">
        <v>542</v>
      </c>
      <c r="B640" s="456" t="s">
        <v>753</v>
      </c>
      <c r="C640" s="456"/>
      <c r="D640" s="459">
        <v>231536</v>
      </c>
      <c r="E640" s="419">
        <v>9</v>
      </c>
      <c r="F640" s="376">
        <f t="shared" si="39"/>
        <v>0</v>
      </c>
      <c r="G640" s="377">
        <f t="shared" si="40"/>
        <v>94850</v>
      </c>
      <c r="H640" s="388"/>
      <c r="I640" s="389">
        <v>56418</v>
      </c>
      <c r="J640" s="388"/>
      <c r="K640" s="390">
        <v>12609</v>
      </c>
      <c r="L640" s="381"/>
      <c r="M640" s="388"/>
      <c r="N640" s="388"/>
      <c r="O640" s="389">
        <v>25823</v>
      </c>
      <c r="P640" s="389">
        <v>0</v>
      </c>
      <c r="Q640" s="390">
        <v>0</v>
      </c>
      <c r="R640" s="381"/>
      <c r="S640" s="390"/>
      <c r="T640" s="383">
        <f t="shared" si="41"/>
        <v>0</v>
      </c>
      <c r="U640" s="384">
        <f t="shared" si="42"/>
        <v>0</v>
      </c>
      <c r="V640" s="388"/>
      <c r="W640" s="389">
        <v>0</v>
      </c>
      <c r="X640" s="391"/>
      <c r="Y640" s="390">
        <v>0</v>
      </c>
      <c r="Z640" s="381"/>
      <c r="AA640" s="388"/>
      <c r="AB640" s="388"/>
      <c r="AC640" s="389">
        <v>0</v>
      </c>
      <c r="AD640" s="389">
        <v>0</v>
      </c>
      <c r="AE640" s="392">
        <v>0</v>
      </c>
      <c r="AF640" s="381"/>
      <c r="AG640" s="389">
        <v>0</v>
      </c>
    </row>
    <row r="641" spans="1:33" s="428" customFormat="1" ht="12.75" customHeight="1">
      <c r="A641" s="459" t="s">
        <v>542</v>
      </c>
      <c r="B641" s="456" t="s">
        <v>754</v>
      </c>
      <c r="C641" s="456"/>
      <c r="D641" s="459">
        <v>231697</v>
      </c>
      <c r="E641" s="419">
        <v>9</v>
      </c>
      <c r="F641" s="376">
        <f t="shared" si="39"/>
        <v>0</v>
      </c>
      <c r="G641" s="377">
        <f t="shared" si="40"/>
        <v>88313</v>
      </c>
      <c r="H641" s="388"/>
      <c r="I641" s="389">
        <v>54003</v>
      </c>
      <c r="J641" s="388"/>
      <c r="K641" s="390">
        <v>17498</v>
      </c>
      <c r="L641" s="381"/>
      <c r="M641" s="388"/>
      <c r="N641" s="388"/>
      <c r="O641" s="389">
        <v>12808</v>
      </c>
      <c r="P641" s="389">
        <v>4004</v>
      </c>
      <c r="Q641" s="390">
        <v>0</v>
      </c>
      <c r="R641" s="381"/>
      <c r="S641" s="390"/>
      <c r="T641" s="383">
        <f t="shared" si="41"/>
        <v>0</v>
      </c>
      <c r="U641" s="384">
        <f t="shared" si="42"/>
        <v>0</v>
      </c>
      <c r="V641" s="388"/>
      <c r="W641" s="389">
        <v>0</v>
      </c>
      <c r="X641" s="391"/>
      <c r="Y641" s="390">
        <v>0</v>
      </c>
      <c r="Z641" s="381"/>
      <c r="AA641" s="388"/>
      <c r="AB641" s="388"/>
      <c r="AC641" s="389">
        <v>0</v>
      </c>
      <c r="AD641" s="389">
        <v>0</v>
      </c>
      <c r="AE641" s="392">
        <v>0</v>
      </c>
      <c r="AF641" s="381"/>
      <c r="AG641" s="389">
        <v>0</v>
      </c>
    </row>
    <row r="642" spans="1:33" s="428" customFormat="1" ht="12.75" customHeight="1">
      <c r="A642" s="459" t="s">
        <v>542</v>
      </c>
      <c r="B642" s="456" t="s">
        <v>755</v>
      </c>
      <c r="C642" s="456"/>
      <c r="D642" s="459">
        <v>231882</v>
      </c>
      <c r="E642" s="419">
        <v>9</v>
      </c>
      <c r="F642" s="376">
        <f t="shared" si="39"/>
        <v>0</v>
      </c>
      <c r="G642" s="377">
        <f t="shared" si="40"/>
        <v>88812</v>
      </c>
      <c r="H642" s="388"/>
      <c r="I642" s="389">
        <v>58317</v>
      </c>
      <c r="J642" s="388"/>
      <c r="K642" s="390">
        <v>20500</v>
      </c>
      <c r="L642" s="381"/>
      <c r="M642" s="388"/>
      <c r="N642" s="388"/>
      <c r="O642" s="389">
        <v>9382</v>
      </c>
      <c r="P642" s="389">
        <v>613</v>
      </c>
      <c r="Q642" s="390">
        <v>0</v>
      </c>
      <c r="R642" s="381"/>
      <c r="S642" s="390"/>
      <c r="T642" s="383">
        <f t="shared" si="41"/>
        <v>0</v>
      </c>
      <c r="U642" s="384">
        <f t="shared" si="42"/>
        <v>0</v>
      </c>
      <c r="V642" s="388"/>
      <c r="W642" s="389">
        <v>0</v>
      </c>
      <c r="X642" s="391"/>
      <c r="Y642" s="390">
        <v>0</v>
      </c>
      <c r="Z642" s="381"/>
      <c r="AA642" s="388"/>
      <c r="AB642" s="388"/>
      <c r="AC642" s="389">
        <v>0</v>
      </c>
      <c r="AD642" s="389">
        <v>0</v>
      </c>
      <c r="AE642" s="392">
        <v>0</v>
      </c>
      <c r="AF642" s="381"/>
      <c r="AG642" s="389">
        <v>0</v>
      </c>
    </row>
    <row r="643" spans="1:33" s="428" customFormat="1" ht="12.75" customHeight="1">
      <c r="A643" s="459" t="s">
        <v>542</v>
      </c>
      <c r="B643" s="456" t="s">
        <v>756</v>
      </c>
      <c r="C643" s="456"/>
      <c r="D643" s="459">
        <v>232195</v>
      </c>
      <c r="E643" s="419">
        <v>9</v>
      </c>
      <c r="F643" s="376">
        <f t="shared" si="39"/>
        <v>0</v>
      </c>
      <c r="G643" s="377">
        <f t="shared" si="40"/>
        <v>131957</v>
      </c>
      <c r="H643" s="388"/>
      <c r="I643" s="389">
        <v>81676</v>
      </c>
      <c r="J643" s="388"/>
      <c r="K643" s="390">
        <v>16152</v>
      </c>
      <c r="L643" s="381"/>
      <c r="M643" s="388"/>
      <c r="N643" s="388"/>
      <c r="O643" s="389">
        <v>21591</v>
      </c>
      <c r="P643" s="389">
        <v>12538</v>
      </c>
      <c r="Q643" s="390">
        <v>0</v>
      </c>
      <c r="R643" s="381"/>
      <c r="S643" s="390"/>
      <c r="T643" s="383">
        <f t="shared" si="41"/>
        <v>0</v>
      </c>
      <c r="U643" s="384">
        <f t="shared" si="42"/>
        <v>0</v>
      </c>
      <c r="V643" s="388"/>
      <c r="W643" s="389">
        <v>0</v>
      </c>
      <c r="X643" s="391"/>
      <c r="Y643" s="390">
        <v>0</v>
      </c>
      <c r="Z643" s="381"/>
      <c r="AA643" s="388"/>
      <c r="AB643" s="388"/>
      <c r="AC643" s="389">
        <v>0</v>
      </c>
      <c r="AD643" s="389">
        <v>0</v>
      </c>
      <c r="AE643" s="392">
        <v>0</v>
      </c>
      <c r="AF643" s="381"/>
      <c r="AG643" s="389">
        <v>0</v>
      </c>
    </row>
    <row r="644" spans="1:33" s="428" customFormat="1" ht="12.75" customHeight="1">
      <c r="A644" s="459" t="s">
        <v>542</v>
      </c>
      <c r="B644" s="456" t="s">
        <v>757</v>
      </c>
      <c r="C644" s="456"/>
      <c r="D644" s="459">
        <v>232450</v>
      </c>
      <c r="E644" s="419">
        <v>9</v>
      </c>
      <c r="F644" s="376">
        <f t="shared" si="39"/>
        <v>0</v>
      </c>
      <c r="G644" s="377">
        <f t="shared" si="40"/>
        <v>181574</v>
      </c>
      <c r="H644" s="388"/>
      <c r="I644" s="389">
        <v>120678</v>
      </c>
      <c r="J644" s="388"/>
      <c r="K644" s="390">
        <v>20587</v>
      </c>
      <c r="L644" s="381"/>
      <c r="M644" s="388"/>
      <c r="N644" s="388"/>
      <c r="O644" s="389">
        <v>40107</v>
      </c>
      <c r="P644" s="389">
        <v>202</v>
      </c>
      <c r="Q644" s="390">
        <v>0</v>
      </c>
      <c r="R644" s="381"/>
      <c r="S644" s="390"/>
      <c r="T644" s="383">
        <f t="shared" si="41"/>
        <v>0</v>
      </c>
      <c r="U644" s="384">
        <f t="shared" si="42"/>
        <v>0</v>
      </c>
      <c r="V644" s="388"/>
      <c r="W644" s="389">
        <v>0</v>
      </c>
      <c r="X644" s="391"/>
      <c r="Y644" s="390">
        <v>0</v>
      </c>
      <c r="Z644" s="381"/>
      <c r="AA644" s="388"/>
      <c r="AB644" s="388"/>
      <c r="AC644" s="389">
        <v>0</v>
      </c>
      <c r="AD644" s="389">
        <v>0</v>
      </c>
      <c r="AE644" s="392">
        <v>0</v>
      </c>
      <c r="AF644" s="381"/>
      <c r="AG644" s="389">
        <v>0</v>
      </c>
    </row>
    <row r="645" spans="1:33" s="428" customFormat="1" ht="12.75" customHeight="1">
      <c r="A645" s="459" t="s">
        <v>542</v>
      </c>
      <c r="B645" s="456" t="s">
        <v>758</v>
      </c>
      <c r="C645" s="456"/>
      <c r="D645" s="459">
        <v>232575</v>
      </c>
      <c r="E645" s="419">
        <v>9</v>
      </c>
      <c r="F645" s="376">
        <f t="shared" si="39"/>
        <v>0</v>
      </c>
      <c r="G645" s="377">
        <f t="shared" si="40"/>
        <v>117744</v>
      </c>
      <c r="H645" s="388"/>
      <c r="I645" s="389">
        <v>72683</v>
      </c>
      <c r="J645" s="388"/>
      <c r="K645" s="390">
        <v>18552</v>
      </c>
      <c r="L645" s="381"/>
      <c r="M645" s="388"/>
      <c r="N645" s="388"/>
      <c r="O645" s="389">
        <v>18969</v>
      </c>
      <c r="P645" s="389">
        <v>7540</v>
      </c>
      <c r="Q645" s="390">
        <v>0</v>
      </c>
      <c r="R645" s="381"/>
      <c r="S645" s="390"/>
      <c r="T645" s="383">
        <f t="shared" si="41"/>
        <v>0</v>
      </c>
      <c r="U645" s="384">
        <f t="shared" si="42"/>
        <v>0</v>
      </c>
      <c r="V645" s="388"/>
      <c r="W645" s="389">
        <v>0</v>
      </c>
      <c r="X645" s="391"/>
      <c r="Y645" s="390">
        <v>0</v>
      </c>
      <c r="Z645" s="381"/>
      <c r="AA645" s="388"/>
      <c r="AB645" s="388"/>
      <c r="AC645" s="389">
        <v>0</v>
      </c>
      <c r="AD645" s="389">
        <v>0</v>
      </c>
      <c r="AE645" s="392">
        <v>0</v>
      </c>
      <c r="AF645" s="381"/>
      <c r="AG645" s="389">
        <v>0</v>
      </c>
    </row>
    <row r="646" spans="1:33" s="428" customFormat="1" ht="12.75" customHeight="1">
      <c r="A646" s="459" t="s">
        <v>542</v>
      </c>
      <c r="B646" s="456" t="s">
        <v>759</v>
      </c>
      <c r="C646" s="456"/>
      <c r="D646" s="459">
        <v>232867</v>
      </c>
      <c r="E646" s="419">
        <v>9</v>
      </c>
      <c r="F646" s="376">
        <f t="shared" si="39"/>
        <v>0</v>
      </c>
      <c r="G646" s="377">
        <f t="shared" si="40"/>
        <v>101175</v>
      </c>
      <c r="H646" s="388"/>
      <c r="I646" s="389">
        <v>42150</v>
      </c>
      <c r="J646" s="388"/>
      <c r="K646" s="390">
        <v>30343</v>
      </c>
      <c r="L646" s="381"/>
      <c r="M646" s="388"/>
      <c r="N646" s="388"/>
      <c r="O646" s="389">
        <v>28244</v>
      </c>
      <c r="P646" s="389">
        <v>438</v>
      </c>
      <c r="Q646" s="390">
        <v>0</v>
      </c>
      <c r="R646" s="381"/>
      <c r="S646" s="390"/>
      <c r="T646" s="383">
        <f t="shared" si="41"/>
        <v>0</v>
      </c>
      <c r="U646" s="384">
        <f t="shared" si="42"/>
        <v>0</v>
      </c>
      <c r="V646" s="388"/>
      <c r="W646" s="389">
        <v>0</v>
      </c>
      <c r="X646" s="391"/>
      <c r="Y646" s="390">
        <v>0</v>
      </c>
      <c r="Z646" s="381"/>
      <c r="AA646" s="388"/>
      <c r="AB646" s="388"/>
      <c r="AC646" s="389">
        <v>0</v>
      </c>
      <c r="AD646" s="389">
        <v>0</v>
      </c>
      <c r="AE646" s="392">
        <v>0</v>
      </c>
      <c r="AF646" s="381"/>
      <c r="AG646" s="389">
        <v>0</v>
      </c>
    </row>
    <row r="647" spans="1:33" s="428" customFormat="1" ht="12.75" customHeight="1">
      <c r="A647" s="459" t="s">
        <v>542</v>
      </c>
      <c r="B647" s="456" t="s">
        <v>760</v>
      </c>
      <c r="C647" s="456"/>
      <c r="D647" s="459">
        <v>233116</v>
      </c>
      <c r="E647" s="419">
        <v>9</v>
      </c>
      <c r="F647" s="376">
        <f t="shared" si="39"/>
        <v>0</v>
      </c>
      <c r="G647" s="377">
        <f t="shared" si="40"/>
        <v>88143</v>
      </c>
      <c r="H647" s="388"/>
      <c r="I647" s="389">
        <v>63828</v>
      </c>
      <c r="J647" s="388"/>
      <c r="K647" s="390">
        <v>11644</v>
      </c>
      <c r="L647" s="381"/>
      <c r="M647" s="388"/>
      <c r="N647" s="388"/>
      <c r="O647" s="389">
        <v>12671</v>
      </c>
      <c r="P647" s="389">
        <v>0</v>
      </c>
      <c r="Q647" s="390">
        <v>0</v>
      </c>
      <c r="R647" s="381"/>
      <c r="S647" s="390"/>
      <c r="T647" s="383">
        <f t="shared" si="41"/>
        <v>0</v>
      </c>
      <c r="U647" s="384">
        <f t="shared" si="42"/>
        <v>0</v>
      </c>
      <c r="V647" s="388"/>
      <c r="W647" s="389">
        <v>0</v>
      </c>
      <c r="X647" s="391"/>
      <c r="Y647" s="390">
        <v>0</v>
      </c>
      <c r="Z647" s="381"/>
      <c r="AA647" s="388"/>
      <c r="AB647" s="388"/>
      <c r="AC647" s="389">
        <v>0</v>
      </c>
      <c r="AD647" s="389">
        <v>0</v>
      </c>
      <c r="AE647" s="392">
        <v>0</v>
      </c>
      <c r="AF647" s="381"/>
      <c r="AG647" s="389">
        <v>0</v>
      </c>
    </row>
    <row r="648" spans="1:33" s="428" customFormat="1" ht="12.75" customHeight="1">
      <c r="A648" s="459" t="s">
        <v>542</v>
      </c>
      <c r="B648" s="456" t="s">
        <v>761</v>
      </c>
      <c r="C648" s="456"/>
      <c r="D648" s="459">
        <v>233639</v>
      </c>
      <c r="E648" s="419">
        <v>9</v>
      </c>
      <c r="F648" s="376">
        <f t="shared" ref="F648:F680" si="43">SUM(H648,J648,L648,M648,N648,R648)</f>
        <v>0</v>
      </c>
      <c r="G648" s="377">
        <f t="shared" ref="G648:G680" si="44">SUM(I648,K648,O648,P648,Q648,S648)</f>
        <v>115613</v>
      </c>
      <c r="H648" s="388"/>
      <c r="I648" s="389">
        <v>32261</v>
      </c>
      <c r="J648" s="388"/>
      <c r="K648" s="390">
        <v>55544</v>
      </c>
      <c r="L648" s="381"/>
      <c r="M648" s="388"/>
      <c r="N648" s="388"/>
      <c r="O648" s="389">
        <v>26485</v>
      </c>
      <c r="P648" s="389">
        <v>1323</v>
      </c>
      <c r="Q648" s="390">
        <v>0</v>
      </c>
      <c r="R648" s="381"/>
      <c r="S648" s="390"/>
      <c r="T648" s="383">
        <f t="shared" ref="T648:T680" si="45">SUM(V648,X648,Z648,AA648,AB648,AF648)</f>
        <v>0</v>
      </c>
      <c r="U648" s="384">
        <f t="shared" ref="U648:U680" si="46">SUM(W648,Y648,AC648,AD648,AE648,AG648)</f>
        <v>0</v>
      </c>
      <c r="V648" s="388"/>
      <c r="W648" s="389">
        <v>0</v>
      </c>
      <c r="X648" s="391"/>
      <c r="Y648" s="390">
        <v>0</v>
      </c>
      <c r="Z648" s="381"/>
      <c r="AA648" s="388"/>
      <c r="AB648" s="388"/>
      <c r="AC648" s="389">
        <v>0</v>
      </c>
      <c r="AD648" s="389">
        <v>0</v>
      </c>
      <c r="AE648" s="392">
        <v>0</v>
      </c>
      <c r="AF648" s="381"/>
      <c r="AG648" s="389">
        <v>0</v>
      </c>
    </row>
    <row r="649" spans="1:33" s="428" customFormat="1" ht="12.75" customHeight="1">
      <c r="A649" s="459" t="s">
        <v>542</v>
      </c>
      <c r="B649" s="456" t="s">
        <v>762</v>
      </c>
      <c r="C649" s="456"/>
      <c r="D649" s="459">
        <v>233648</v>
      </c>
      <c r="E649" s="419">
        <v>9</v>
      </c>
      <c r="F649" s="376">
        <f t="shared" si="43"/>
        <v>0</v>
      </c>
      <c r="G649" s="377">
        <f t="shared" si="44"/>
        <v>75145</v>
      </c>
      <c r="H649" s="388"/>
      <c r="I649" s="389">
        <v>29666</v>
      </c>
      <c r="J649" s="388"/>
      <c r="K649" s="390">
        <v>23308</v>
      </c>
      <c r="L649" s="381"/>
      <c r="M649" s="388"/>
      <c r="N649" s="388"/>
      <c r="O649" s="389">
        <v>18796</v>
      </c>
      <c r="P649" s="389">
        <v>3375</v>
      </c>
      <c r="Q649" s="390">
        <v>0</v>
      </c>
      <c r="R649" s="381"/>
      <c r="S649" s="390"/>
      <c r="T649" s="383">
        <f t="shared" si="45"/>
        <v>0</v>
      </c>
      <c r="U649" s="384">
        <f t="shared" si="46"/>
        <v>0</v>
      </c>
      <c r="V649" s="388"/>
      <c r="W649" s="389">
        <v>0</v>
      </c>
      <c r="X649" s="391"/>
      <c r="Y649" s="390">
        <v>0</v>
      </c>
      <c r="Z649" s="381"/>
      <c r="AA649" s="388"/>
      <c r="AB649" s="388"/>
      <c r="AC649" s="389">
        <v>0</v>
      </c>
      <c r="AD649" s="389">
        <v>0</v>
      </c>
      <c r="AE649" s="392">
        <v>0</v>
      </c>
      <c r="AF649" s="381"/>
      <c r="AG649" s="389">
        <v>0</v>
      </c>
    </row>
    <row r="650" spans="1:33" s="428" customFormat="1" ht="12.75" customHeight="1">
      <c r="A650" s="459" t="s">
        <v>542</v>
      </c>
      <c r="B650" s="456" t="s">
        <v>763</v>
      </c>
      <c r="C650" s="588" t="s">
        <v>778</v>
      </c>
      <c r="D650" s="459">
        <v>233949</v>
      </c>
      <c r="E650" s="419">
        <v>9</v>
      </c>
      <c r="F650" s="376">
        <f t="shared" si="43"/>
        <v>0</v>
      </c>
      <c r="G650" s="377">
        <f t="shared" si="44"/>
        <v>147852</v>
      </c>
      <c r="H650" s="388"/>
      <c r="I650" s="389">
        <v>97067</v>
      </c>
      <c r="J650" s="388"/>
      <c r="K650" s="390">
        <v>22641</v>
      </c>
      <c r="L650" s="381"/>
      <c r="M650" s="388"/>
      <c r="N650" s="388"/>
      <c r="O650" s="389">
        <v>21467</v>
      </c>
      <c r="P650" s="389">
        <v>6677</v>
      </c>
      <c r="Q650" s="390">
        <v>0</v>
      </c>
      <c r="R650" s="381"/>
      <c r="S650" s="390"/>
      <c r="T650" s="383">
        <f t="shared" si="45"/>
        <v>0</v>
      </c>
      <c r="U650" s="384">
        <f t="shared" si="46"/>
        <v>0</v>
      </c>
      <c r="V650" s="388"/>
      <c r="W650" s="389">
        <v>0</v>
      </c>
      <c r="X650" s="391"/>
      <c r="Y650" s="390">
        <v>0</v>
      </c>
      <c r="Z650" s="381"/>
      <c r="AA650" s="388"/>
      <c r="AB650" s="388"/>
      <c r="AC650" s="389">
        <v>0</v>
      </c>
      <c r="AD650" s="389">
        <v>0</v>
      </c>
      <c r="AE650" s="392">
        <v>0</v>
      </c>
      <c r="AF650" s="381"/>
      <c r="AG650" s="389">
        <v>0</v>
      </c>
    </row>
    <row r="651" spans="1:33" s="428" customFormat="1" ht="12.75" customHeight="1">
      <c r="A651" s="459" t="s">
        <v>542</v>
      </c>
      <c r="B651" s="456" t="s">
        <v>764</v>
      </c>
      <c r="C651" s="456"/>
      <c r="D651" s="459">
        <v>231873</v>
      </c>
      <c r="E651" s="419">
        <v>10</v>
      </c>
      <c r="F651" s="376">
        <f t="shared" si="43"/>
        <v>0</v>
      </c>
      <c r="G651" s="377">
        <f t="shared" si="44"/>
        <v>26089</v>
      </c>
      <c r="H651" s="388"/>
      <c r="I651" s="389">
        <v>9774</v>
      </c>
      <c r="J651" s="388"/>
      <c r="K651" s="390">
        <v>5978</v>
      </c>
      <c r="L651" s="381"/>
      <c r="M651" s="388"/>
      <c r="N651" s="388"/>
      <c r="O651" s="389">
        <v>2487</v>
      </c>
      <c r="P651" s="389">
        <v>7850</v>
      </c>
      <c r="Q651" s="390">
        <v>0</v>
      </c>
      <c r="R651" s="381"/>
      <c r="S651" s="390"/>
      <c r="T651" s="383">
        <f t="shared" si="45"/>
        <v>0</v>
      </c>
      <c r="U651" s="384">
        <f t="shared" si="46"/>
        <v>0</v>
      </c>
      <c r="V651" s="388"/>
      <c r="W651" s="389">
        <v>0</v>
      </c>
      <c r="X651" s="391"/>
      <c r="Y651" s="390">
        <v>0</v>
      </c>
      <c r="Z651" s="381"/>
      <c r="AA651" s="388"/>
      <c r="AB651" s="388"/>
      <c r="AC651" s="389">
        <v>0</v>
      </c>
      <c r="AD651" s="389">
        <v>0</v>
      </c>
      <c r="AE651" s="392">
        <v>0</v>
      </c>
      <c r="AF651" s="381"/>
      <c r="AG651" s="389">
        <v>0</v>
      </c>
    </row>
    <row r="652" spans="1:33" s="428" customFormat="1" ht="12.75" customHeight="1">
      <c r="A652" s="459" t="s">
        <v>542</v>
      </c>
      <c r="B652" s="456" t="s">
        <v>765</v>
      </c>
      <c r="C652" s="456"/>
      <c r="D652" s="459">
        <v>232052</v>
      </c>
      <c r="E652" s="419">
        <v>10</v>
      </c>
      <c r="F652" s="376">
        <f t="shared" si="43"/>
        <v>0</v>
      </c>
      <c r="G652" s="377">
        <f t="shared" si="44"/>
        <v>20534</v>
      </c>
      <c r="H652" s="388"/>
      <c r="I652" s="389">
        <v>14384</v>
      </c>
      <c r="J652" s="388"/>
      <c r="K652" s="390">
        <v>2661</v>
      </c>
      <c r="L652" s="381"/>
      <c r="M652" s="388"/>
      <c r="N652" s="388"/>
      <c r="O652" s="389">
        <v>3489</v>
      </c>
      <c r="P652" s="389">
        <v>0</v>
      </c>
      <c r="Q652" s="390">
        <v>0</v>
      </c>
      <c r="R652" s="381"/>
      <c r="S652" s="390"/>
      <c r="T652" s="383">
        <f t="shared" si="45"/>
        <v>0</v>
      </c>
      <c r="U652" s="384">
        <f t="shared" si="46"/>
        <v>0</v>
      </c>
      <c r="V652" s="388"/>
      <c r="W652" s="389">
        <v>0</v>
      </c>
      <c r="X652" s="391"/>
      <c r="Y652" s="390">
        <v>0</v>
      </c>
      <c r="Z652" s="381"/>
      <c r="AA652" s="388"/>
      <c r="AB652" s="388"/>
      <c r="AC652" s="389">
        <v>0</v>
      </c>
      <c r="AD652" s="389">
        <v>0</v>
      </c>
      <c r="AE652" s="392">
        <v>0</v>
      </c>
      <c r="AF652" s="381"/>
      <c r="AG652" s="389">
        <v>0</v>
      </c>
    </row>
    <row r="653" spans="1:33" s="428" customFormat="1" ht="12.75" customHeight="1">
      <c r="A653" s="459" t="s">
        <v>542</v>
      </c>
      <c r="B653" s="456" t="s">
        <v>766</v>
      </c>
      <c r="C653" s="588" t="s">
        <v>780</v>
      </c>
      <c r="D653" s="459">
        <v>232788</v>
      </c>
      <c r="E653" s="419">
        <v>10</v>
      </c>
      <c r="F653" s="376">
        <f t="shared" si="43"/>
        <v>0</v>
      </c>
      <c r="G653" s="377">
        <f t="shared" si="44"/>
        <v>65947</v>
      </c>
      <c r="H653" s="388"/>
      <c r="I653" s="389">
        <v>29771</v>
      </c>
      <c r="J653" s="388"/>
      <c r="K653" s="390">
        <v>10524</v>
      </c>
      <c r="L653" s="381"/>
      <c r="M653" s="388"/>
      <c r="N653" s="388"/>
      <c r="O653" s="389">
        <v>23917</v>
      </c>
      <c r="P653" s="389">
        <v>1735</v>
      </c>
      <c r="Q653" s="390">
        <v>0</v>
      </c>
      <c r="R653" s="381"/>
      <c r="S653" s="390"/>
      <c r="T653" s="383">
        <f t="shared" si="45"/>
        <v>0</v>
      </c>
      <c r="U653" s="384">
        <f t="shared" si="46"/>
        <v>0</v>
      </c>
      <c r="V653" s="388"/>
      <c r="W653" s="389">
        <v>0</v>
      </c>
      <c r="X653" s="391"/>
      <c r="Y653" s="390">
        <v>0</v>
      </c>
      <c r="Z653" s="381"/>
      <c r="AA653" s="388"/>
      <c r="AB653" s="388"/>
      <c r="AC653" s="389">
        <v>0</v>
      </c>
      <c r="AD653" s="389">
        <v>0</v>
      </c>
      <c r="AE653" s="392">
        <v>0</v>
      </c>
      <c r="AF653" s="381"/>
      <c r="AG653" s="389">
        <v>0</v>
      </c>
    </row>
    <row r="654" spans="1:33" s="428" customFormat="1" ht="12.75" customHeight="1">
      <c r="A654" s="459" t="s">
        <v>542</v>
      </c>
      <c r="B654" s="494" t="s">
        <v>767</v>
      </c>
      <c r="C654" s="589" t="s">
        <v>842</v>
      </c>
      <c r="D654" s="459">
        <v>233019</v>
      </c>
      <c r="E654" s="419">
        <v>10</v>
      </c>
      <c r="F654" s="376">
        <f t="shared" si="43"/>
        <v>0</v>
      </c>
      <c r="G654" s="377">
        <f t="shared" si="44"/>
        <v>76247</v>
      </c>
      <c r="H654" s="388"/>
      <c r="I654" s="389">
        <v>40582</v>
      </c>
      <c r="J654" s="388"/>
      <c r="K654" s="390">
        <v>12047</v>
      </c>
      <c r="L654" s="381"/>
      <c r="M654" s="388"/>
      <c r="N654" s="388"/>
      <c r="O654" s="389">
        <v>22539</v>
      </c>
      <c r="P654" s="389">
        <v>1079</v>
      </c>
      <c r="Q654" s="390">
        <v>0</v>
      </c>
      <c r="R654" s="381"/>
      <c r="S654" s="390"/>
      <c r="T654" s="383">
        <f t="shared" si="45"/>
        <v>0</v>
      </c>
      <c r="U654" s="384">
        <f t="shared" si="46"/>
        <v>0</v>
      </c>
      <c r="V654" s="388"/>
      <c r="W654" s="389">
        <v>0</v>
      </c>
      <c r="X654" s="391"/>
      <c r="Y654" s="390">
        <v>0</v>
      </c>
      <c r="Z654" s="381"/>
      <c r="AA654" s="388"/>
      <c r="AB654" s="388"/>
      <c r="AC654" s="389">
        <v>0</v>
      </c>
      <c r="AD654" s="389">
        <v>0</v>
      </c>
      <c r="AE654" s="392">
        <v>0</v>
      </c>
      <c r="AF654" s="381"/>
      <c r="AG654" s="389">
        <v>0</v>
      </c>
    </row>
    <row r="655" spans="1:33" s="428" customFormat="1" ht="12.75" customHeight="1">
      <c r="A655" s="459" t="s">
        <v>542</v>
      </c>
      <c r="B655" s="456" t="s">
        <v>768</v>
      </c>
      <c r="C655" s="456"/>
      <c r="D655" s="459">
        <v>233037</v>
      </c>
      <c r="E655" s="419">
        <v>10</v>
      </c>
      <c r="F655" s="376">
        <f t="shared" si="43"/>
        <v>0</v>
      </c>
      <c r="G655" s="377">
        <f t="shared" si="44"/>
        <v>30751</v>
      </c>
      <c r="H655" s="388"/>
      <c r="I655" s="389">
        <v>17424</v>
      </c>
      <c r="J655" s="388"/>
      <c r="K655" s="390">
        <v>5763</v>
      </c>
      <c r="L655" s="381"/>
      <c r="M655" s="388"/>
      <c r="N655" s="388"/>
      <c r="O655" s="389">
        <v>6406</v>
      </c>
      <c r="P655" s="389">
        <v>1158</v>
      </c>
      <c r="Q655" s="390">
        <v>0</v>
      </c>
      <c r="R655" s="381"/>
      <c r="S655" s="390"/>
      <c r="T655" s="383">
        <f t="shared" si="45"/>
        <v>0</v>
      </c>
      <c r="U655" s="384">
        <f t="shared" si="46"/>
        <v>0</v>
      </c>
      <c r="V655" s="388"/>
      <c r="W655" s="389">
        <v>0</v>
      </c>
      <c r="X655" s="391"/>
      <c r="Y655" s="390">
        <v>0</v>
      </c>
      <c r="Z655" s="381"/>
      <c r="AA655" s="388"/>
      <c r="AB655" s="388"/>
      <c r="AC655" s="389">
        <v>0</v>
      </c>
      <c r="AD655" s="389">
        <v>0</v>
      </c>
      <c r="AE655" s="392">
        <v>0</v>
      </c>
      <c r="AF655" s="381"/>
      <c r="AG655" s="389">
        <v>0</v>
      </c>
    </row>
    <row r="656" spans="1:33" s="428" customFormat="1" ht="12.75" customHeight="1">
      <c r="A656" s="459" t="s">
        <v>542</v>
      </c>
      <c r="B656" s="456" t="s">
        <v>769</v>
      </c>
      <c r="C656" s="456"/>
      <c r="D656" s="459">
        <v>233310</v>
      </c>
      <c r="E656" s="419">
        <v>10</v>
      </c>
      <c r="F656" s="376">
        <f t="shared" si="43"/>
        <v>0</v>
      </c>
      <c r="G656" s="377">
        <f t="shared" si="44"/>
        <v>58268</v>
      </c>
      <c r="H656" s="388"/>
      <c r="I656" s="389">
        <v>16725</v>
      </c>
      <c r="J656" s="388"/>
      <c r="K656" s="390">
        <v>16035</v>
      </c>
      <c r="L656" s="381"/>
      <c r="M656" s="388"/>
      <c r="N656" s="388"/>
      <c r="O656" s="389">
        <v>12884</v>
      </c>
      <c r="P656" s="389">
        <v>12624</v>
      </c>
      <c r="Q656" s="390">
        <v>0</v>
      </c>
      <c r="R656" s="381"/>
      <c r="S656" s="390"/>
      <c r="T656" s="383">
        <f t="shared" si="45"/>
        <v>0</v>
      </c>
      <c r="U656" s="384">
        <f t="shared" si="46"/>
        <v>0</v>
      </c>
      <c r="V656" s="388"/>
      <c r="W656" s="389">
        <v>0</v>
      </c>
      <c r="X656" s="391"/>
      <c r="Y656" s="390">
        <v>0</v>
      </c>
      <c r="Z656" s="381"/>
      <c r="AA656" s="388"/>
      <c r="AB656" s="388"/>
      <c r="AC656" s="389">
        <v>0</v>
      </c>
      <c r="AD656" s="389">
        <v>0</v>
      </c>
      <c r="AE656" s="392">
        <v>0</v>
      </c>
      <c r="AF656" s="381"/>
      <c r="AG656" s="389">
        <v>0</v>
      </c>
    </row>
    <row r="657" spans="1:51" s="428" customFormat="1" ht="12.75" customHeight="1">
      <c r="A657" s="459" t="s">
        <v>542</v>
      </c>
      <c r="B657" s="456" t="s">
        <v>770</v>
      </c>
      <c r="C657" s="456"/>
      <c r="D657" s="459">
        <v>233338</v>
      </c>
      <c r="E657" s="419">
        <v>10</v>
      </c>
      <c r="F657" s="376">
        <f t="shared" si="43"/>
        <v>0</v>
      </c>
      <c r="G657" s="377">
        <f t="shared" si="44"/>
        <v>35209</v>
      </c>
      <c r="H657" s="388"/>
      <c r="I657" s="389">
        <v>32786</v>
      </c>
      <c r="J657" s="388"/>
      <c r="K657" s="390">
        <v>1572</v>
      </c>
      <c r="L657" s="381"/>
      <c r="M657" s="388"/>
      <c r="N657" s="388"/>
      <c r="O657" s="389">
        <v>851</v>
      </c>
      <c r="P657" s="389">
        <v>0</v>
      </c>
      <c r="Q657" s="390">
        <v>0</v>
      </c>
      <c r="R657" s="381"/>
      <c r="S657" s="390"/>
      <c r="T657" s="383">
        <f t="shared" si="45"/>
        <v>0</v>
      </c>
      <c r="U657" s="384">
        <f t="shared" si="46"/>
        <v>0</v>
      </c>
      <c r="V657" s="388"/>
      <c r="W657" s="389">
        <v>0</v>
      </c>
      <c r="X657" s="391"/>
      <c r="Y657" s="390">
        <v>0</v>
      </c>
      <c r="Z657" s="381"/>
      <c r="AA657" s="388"/>
      <c r="AB657" s="388"/>
      <c r="AC657" s="389">
        <v>0</v>
      </c>
      <c r="AD657" s="389">
        <v>0</v>
      </c>
      <c r="AE657" s="392">
        <v>0</v>
      </c>
      <c r="AF657" s="381"/>
      <c r="AG657" s="389">
        <v>0</v>
      </c>
    </row>
    <row r="658" spans="1:51" s="428" customFormat="1" ht="12.75" customHeight="1">
      <c r="A658" s="459" t="s">
        <v>542</v>
      </c>
      <c r="B658" s="456" t="s">
        <v>771</v>
      </c>
      <c r="C658" s="456"/>
      <c r="D658" s="459">
        <v>233903</v>
      </c>
      <c r="E658" s="419">
        <v>10</v>
      </c>
      <c r="F658" s="376">
        <f t="shared" si="43"/>
        <v>0</v>
      </c>
      <c r="G658" s="377">
        <f t="shared" si="44"/>
        <v>56123</v>
      </c>
      <c r="H658" s="388"/>
      <c r="I658" s="389">
        <v>34830</v>
      </c>
      <c r="J658" s="388"/>
      <c r="K658" s="390">
        <v>7037</v>
      </c>
      <c r="L658" s="381"/>
      <c r="M658" s="388"/>
      <c r="N658" s="388"/>
      <c r="O658" s="389">
        <v>11977</v>
      </c>
      <c r="P658" s="389">
        <v>2279</v>
      </c>
      <c r="Q658" s="390">
        <v>0</v>
      </c>
      <c r="R658" s="381"/>
      <c r="S658" s="390"/>
      <c r="T658" s="383">
        <f t="shared" si="45"/>
        <v>0</v>
      </c>
      <c r="U658" s="384">
        <f t="shared" si="46"/>
        <v>0</v>
      </c>
      <c r="V658" s="388"/>
      <c r="W658" s="389">
        <v>0</v>
      </c>
      <c r="X658" s="391"/>
      <c r="Y658" s="390">
        <v>0</v>
      </c>
      <c r="Z658" s="381"/>
      <c r="AA658" s="388"/>
      <c r="AB658" s="388"/>
      <c r="AC658" s="389">
        <v>0</v>
      </c>
      <c r="AD658" s="389">
        <v>0</v>
      </c>
      <c r="AE658" s="392">
        <v>0</v>
      </c>
      <c r="AF658" s="381"/>
      <c r="AG658" s="389">
        <v>0</v>
      </c>
    </row>
    <row r="659" spans="1:51" s="428" customFormat="1" ht="12.75" customHeight="1">
      <c r="A659" s="459" t="s">
        <v>542</v>
      </c>
      <c r="B659" s="456" t="s">
        <v>772</v>
      </c>
      <c r="C659" s="588" t="s">
        <v>842</v>
      </c>
      <c r="D659" s="459">
        <v>234377</v>
      </c>
      <c r="E659" s="419">
        <v>10</v>
      </c>
      <c r="F659" s="376">
        <f t="shared" si="43"/>
        <v>0</v>
      </c>
      <c r="G659" s="377">
        <f t="shared" si="44"/>
        <v>74124</v>
      </c>
      <c r="H659" s="388"/>
      <c r="I659" s="389">
        <v>18220</v>
      </c>
      <c r="J659" s="388"/>
      <c r="K659" s="390">
        <v>22192</v>
      </c>
      <c r="L659" s="381"/>
      <c r="M659" s="388"/>
      <c r="N659" s="388"/>
      <c r="O659" s="389">
        <v>29253</v>
      </c>
      <c r="P659" s="389">
        <v>4459</v>
      </c>
      <c r="Q659" s="390">
        <v>0</v>
      </c>
      <c r="R659" s="381"/>
      <c r="S659" s="390"/>
      <c r="T659" s="383">
        <f t="shared" si="45"/>
        <v>0</v>
      </c>
      <c r="U659" s="384">
        <f t="shared" si="46"/>
        <v>0</v>
      </c>
      <c r="V659" s="388"/>
      <c r="W659" s="389">
        <v>0</v>
      </c>
      <c r="X659" s="391"/>
      <c r="Y659" s="390">
        <v>0</v>
      </c>
      <c r="Z659" s="381"/>
      <c r="AA659" s="388"/>
      <c r="AB659" s="388"/>
      <c r="AC659" s="389">
        <v>0</v>
      </c>
      <c r="AD659" s="389">
        <v>0</v>
      </c>
      <c r="AE659" s="392">
        <v>0</v>
      </c>
      <c r="AF659" s="381"/>
      <c r="AG659" s="389">
        <v>0</v>
      </c>
    </row>
    <row r="660" spans="1:51" s="428" customFormat="1" ht="12.75" customHeight="1">
      <c r="A660" s="460" t="s">
        <v>543</v>
      </c>
      <c r="B660" s="461" t="s">
        <v>544</v>
      </c>
      <c r="C660" s="461"/>
      <c r="D660" s="462">
        <v>238032</v>
      </c>
      <c r="E660" s="463">
        <v>1</v>
      </c>
      <c r="F660" s="376">
        <f t="shared" si="43"/>
        <v>643635</v>
      </c>
      <c r="G660" s="377">
        <f t="shared" si="44"/>
        <v>650374</v>
      </c>
      <c r="H660" s="388">
        <v>603992</v>
      </c>
      <c r="I660" s="389">
        <v>606693</v>
      </c>
      <c r="J660" s="388">
        <v>700</v>
      </c>
      <c r="K660" s="390">
        <v>1175</v>
      </c>
      <c r="L660" s="381">
        <v>36497</v>
      </c>
      <c r="M660" s="388">
        <v>15</v>
      </c>
      <c r="N660" s="388">
        <v>2431</v>
      </c>
      <c r="O660" s="389">
        <v>39902</v>
      </c>
      <c r="P660" s="389"/>
      <c r="Q660" s="390">
        <v>2604</v>
      </c>
      <c r="R660" s="381">
        <v>0</v>
      </c>
      <c r="S660" s="390"/>
      <c r="T660" s="383">
        <f t="shared" si="45"/>
        <v>112343</v>
      </c>
      <c r="U660" s="384">
        <f t="shared" si="46"/>
        <v>112337</v>
      </c>
      <c r="V660" s="388">
        <v>75674</v>
      </c>
      <c r="W660" s="389">
        <v>74358</v>
      </c>
      <c r="X660" s="391">
        <v>10214</v>
      </c>
      <c r="Y660" s="390">
        <v>10645</v>
      </c>
      <c r="Z660" s="381">
        <v>22972</v>
      </c>
      <c r="AA660" s="388">
        <v>3003</v>
      </c>
      <c r="AB660" s="388">
        <v>480</v>
      </c>
      <c r="AC660" s="389">
        <v>24476</v>
      </c>
      <c r="AD660" s="389">
        <v>2395</v>
      </c>
      <c r="AE660" s="392">
        <v>463</v>
      </c>
      <c r="AF660" s="381"/>
      <c r="AG660" s="389"/>
      <c r="AH660" s="404"/>
      <c r="AI660" s="404"/>
      <c r="AJ660" s="404"/>
      <c r="AK660" s="404"/>
      <c r="AL660" s="404"/>
      <c r="AM660" s="404"/>
      <c r="AN660" s="404"/>
      <c r="AO660" s="404"/>
      <c r="AP660" s="404"/>
      <c r="AQ660" s="404"/>
      <c r="AR660" s="404"/>
      <c r="AS660" s="404"/>
      <c r="AT660" s="404"/>
      <c r="AU660" s="404"/>
      <c r="AV660" s="404"/>
      <c r="AW660" s="404"/>
      <c r="AX660" s="404"/>
      <c r="AY660" s="404"/>
    </row>
    <row r="661" spans="1:51" s="404" customFormat="1" ht="12.75" customHeight="1">
      <c r="A661" s="460" t="s">
        <v>543</v>
      </c>
      <c r="B661" s="461" t="s">
        <v>545</v>
      </c>
      <c r="C661" s="461"/>
      <c r="D661" s="462">
        <v>237525</v>
      </c>
      <c r="E661" s="463">
        <v>3</v>
      </c>
      <c r="F661" s="376">
        <f t="shared" si="43"/>
        <v>254769</v>
      </c>
      <c r="G661" s="377">
        <f t="shared" si="44"/>
        <v>268026</v>
      </c>
      <c r="H661" s="388">
        <v>209775</v>
      </c>
      <c r="I661" s="389">
        <v>218335</v>
      </c>
      <c r="J661" s="388">
        <v>13594</v>
      </c>
      <c r="K661" s="390">
        <v>14845</v>
      </c>
      <c r="L661" s="381">
        <v>31169</v>
      </c>
      <c r="M661" s="388">
        <f>177+54</f>
        <v>231</v>
      </c>
      <c r="N661" s="388">
        <v>0</v>
      </c>
      <c r="O661" s="389">
        <v>34600</v>
      </c>
      <c r="P661" s="389">
        <v>246</v>
      </c>
      <c r="Q661" s="390"/>
      <c r="R661" s="381">
        <v>0</v>
      </c>
      <c r="S661" s="390"/>
      <c r="T661" s="383">
        <f t="shared" si="45"/>
        <v>55755</v>
      </c>
      <c r="U661" s="384">
        <f t="shared" si="46"/>
        <v>55610</v>
      </c>
      <c r="V661" s="388">
        <v>18135</v>
      </c>
      <c r="W661" s="389">
        <v>18341</v>
      </c>
      <c r="X661" s="391">
        <v>24664</v>
      </c>
      <c r="Y661" s="390">
        <v>24862</v>
      </c>
      <c r="Z661" s="381">
        <v>12077</v>
      </c>
      <c r="AA661" s="388">
        <f>483+396</f>
        <v>879</v>
      </c>
      <c r="AB661" s="388"/>
      <c r="AC661" s="389">
        <v>11933</v>
      </c>
      <c r="AD661" s="389">
        <v>474</v>
      </c>
      <c r="AE661" s="392"/>
      <c r="AF661" s="381"/>
      <c r="AG661" s="389"/>
    </row>
    <row r="662" spans="1:51" s="404" customFormat="1" ht="12.75" customHeight="1">
      <c r="A662" s="460" t="s">
        <v>543</v>
      </c>
      <c r="B662" s="461" t="s">
        <v>546</v>
      </c>
      <c r="C662" s="461"/>
      <c r="D662" s="462">
        <v>237367</v>
      </c>
      <c r="E662" s="463">
        <v>5</v>
      </c>
      <c r="F662" s="376">
        <f t="shared" si="43"/>
        <v>115602</v>
      </c>
      <c r="G662" s="377">
        <f t="shared" si="44"/>
        <v>120046</v>
      </c>
      <c r="H662" s="388">
        <v>88480</v>
      </c>
      <c r="I662" s="389">
        <v>91278</v>
      </c>
      <c r="J662" s="388">
        <v>14107</v>
      </c>
      <c r="K662" s="390">
        <v>14672</v>
      </c>
      <c r="L662" s="381">
        <v>13015</v>
      </c>
      <c r="M662" s="388">
        <v>0</v>
      </c>
      <c r="N662" s="388">
        <v>0</v>
      </c>
      <c r="O662" s="389">
        <v>14096</v>
      </c>
      <c r="P662" s="389"/>
      <c r="Q662" s="390"/>
      <c r="R662" s="381">
        <v>0</v>
      </c>
      <c r="S662" s="390"/>
      <c r="T662" s="383">
        <f t="shared" si="45"/>
        <v>5478</v>
      </c>
      <c r="U662" s="384">
        <f t="shared" si="46"/>
        <v>5087</v>
      </c>
      <c r="V662" s="388">
        <v>1450</v>
      </c>
      <c r="W662" s="389">
        <v>1281</v>
      </c>
      <c r="X662" s="391"/>
      <c r="Y662" s="390"/>
      <c r="Z662" s="381">
        <v>4028</v>
      </c>
      <c r="AA662" s="388"/>
      <c r="AB662" s="388"/>
      <c r="AC662" s="389">
        <v>3806</v>
      </c>
      <c r="AD662" s="389"/>
      <c r="AE662" s="392"/>
      <c r="AF662" s="381"/>
      <c r="AG662" s="389"/>
    </row>
    <row r="663" spans="1:51" s="404" customFormat="1" ht="12.75" customHeight="1">
      <c r="A663" s="460" t="s">
        <v>543</v>
      </c>
      <c r="B663" s="461" t="s">
        <v>547</v>
      </c>
      <c r="C663" s="461"/>
      <c r="D663" s="462">
        <v>237215</v>
      </c>
      <c r="E663" s="463">
        <v>6</v>
      </c>
      <c r="F663" s="376">
        <f t="shared" si="43"/>
        <v>54284</v>
      </c>
      <c r="G663" s="377">
        <f t="shared" si="44"/>
        <v>56036</v>
      </c>
      <c r="H663" s="388">
        <v>34197</v>
      </c>
      <c r="I663" s="389">
        <v>34354</v>
      </c>
      <c r="J663" s="388">
        <v>3558</v>
      </c>
      <c r="K663" s="390">
        <v>2743</v>
      </c>
      <c r="L663" s="381">
        <v>13943</v>
      </c>
      <c r="M663" s="388">
        <f>1956+621</f>
        <v>2577</v>
      </c>
      <c r="N663" s="388">
        <v>9</v>
      </c>
      <c r="O663" s="389">
        <v>16285</v>
      </c>
      <c r="P663" s="389">
        <v>2654</v>
      </c>
      <c r="Q663" s="390"/>
      <c r="R663" s="381">
        <v>0</v>
      </c>
      <c r="S663" s="390"/>
      <c r="T663" s="383">
        <f t="shared" si="45"/>
        <v>0</v>
      </c>
      <c r="U663" s="384">
        <f t="shared" si="46"/>
        <v>0</v>
      </c>
      <c r="V663" s="388"/>
      <c r="W663" s="389"/>
      <c r="X663" s="391"/>
      <c r="Y663" s="390"/>
      <c r="Z663" s="381"/>
      <c r="AA663" s="388"/>
      <c r="AB663" s="388"/>
      <c r="AC663" s="389"/>
      <c r="AD663" s="389"/>
      <c r="AE663" s="392"/>
      <c r="AF663" s="381"/>
      <c r="AG663" s="389"/>
    </row>
    <row r="664" spans="1:51" s="404" customFormat="1" ht="12.75" customHeight="1">
      <c r="A664" s="460" t="s">
        <v>543</v>
      </c>
      <c r="B664" s="461" t="s">
        <v>548</v>
      </c>
      <c r="C664" s="461"/>
      <c r="D664" s="462">
        <v>237330</v>
      </c>
      <c r="E664" s="463">
        <v>6</v>
      </c>
      <c r="F664" s="376">
        <f t="shared" si="43"/>
        <v>80430</v>
      </c>
      <c r="G664" s="377">
        <f t="shared" si="44"/>
        <v>80188</v>
      </c>
      <c r="H664" s="388">
        <v>68289</v>
      </c>
      <c r="I664" s="389">
        <v>65734</v>
      </c>
      <c r="J664" s="388">
        <v>9617</v>
      </c>
      <c r="K664" s="390">
        <v>10548</v>
      </c>
      <c r="L664" s="381">
        <v>2248</v>
      </c>
      <c r="M664" s="388">
        <f>42+234</f>
        <v>276</v>
      </c>
      <c r="N664" s="388">
        <v>0</v>
      </c>
      <c r="O664" s="389">
        <v>3248</v>
      </c>
      <c r="P664" s="389">
        <v>400</v>
      </c>
      <c r="Q664" s="390">
        <v>258</v>
      </c>
      <c r="R664" s="381">
        <v>0</v>
      </c>
      <c r="S664" s="390"/>
      <c r="T664" s="383">
        <f t="shared" si="45"/>
        <v>1971</v>
      </c>
      <c r="U664" s="384">
        <f t="shared" si="46"/>
        <v>2898</v>
      </c>
      <c r="V664" s="388">
        <v>156</v>
      </c>
      <c r="W664" s="389">
        <v>165</v>
      </c>
      <c r="X664" s="391">
        <v>267</v>
      </c>
      <c r="Y664" s="390">
        <v>342</v>
      </c>
      <c r="Z664" s="381">
        <v>1548</v>
      </c>
      <c r="AA664" s="388"/>
      <c r="AB664" s="388"/>
      <c r="AC664" s="389">
        <v>2391</v>
      </c>
      <c r="AD664" s="389"/>
      <c r="AE664" s="392"/>
      <c r="AF664" s="381"/>
      <c r="AG664" s="389"/>
    </row>
    <row r="665" spans="1:51" s="404" customFormat="1" ht="12.75" customHeight="1">
      <c r="A665" s="460" t="s">
        <v>543</v>
      </c>
      <c r="B665" s="461" t="s">
        <v>549</v>
      </c>
      <c r="C665" s="461"/>
      <c r="D665" s="462">
        <v>237385</v>
      </c>
      <c r="E665" s="463">
        <v>6</v>
      </c>
      <c r="F665" s="376">
        <f t="shared" si="43"/>
        <v>40111</v>
      </c>
      <c r="G665" s="377">
        <f t="shared" si="44"/>
        <v>44658</v>
      </c>
      <c r="H665" s="388">
        <v>33052</v>
      </c>
      <c r="I665" s="389">
        <v>34424</v>
      </c>
      <c r="J665" s="388">
        <v>3854</v>
      </c>
      <c r="K665" s="390">
        <v>4693</v>
      </c>
      <c r="L665" s="381">
        <v>3205</v>
      </c>
      <c r="M665" s="388">
        <v>0</v>
      </c>
      <c r="N665" s="388">
        <v>0</v>
      </c>
      <c r="O665" s="389">
        <v>5541</v>
      </c>
      <c r="P665" s="389"/>
      <c r="Q665" s="390"/>
      <c r="R665" s="381">
        <v>0</v>
      </c>
      <c r="S665" s="390"/>
      <c r="T665" s="383">
        <f t="shared" si="45"/>
        <v>0</v>
      </c>
      <c r="U665" s="384">
        <f t="shared" si="46"/>
        <v>0</v>
      </c>
      <c r="V665" s="388"/>
      <c r="W665" s="389"/>
      <c r="X665" s="391"/>
      <c r="Y665" s="390"/>
      <c r="Z665" s="381"/>
      <c r="AA665" s="388"/>
      <c r="AB665" s="388"/>
      <c r="AC665" s="389"/>
      <c r="AD665" s="389"/>
      <c r="AE665" s="392"/>
      <c r="AF665" s="381"/>
      <c r="AG665" s="389"/>
    </row>
    <row r="666" spans="1:51" s="404" customFormat="1" ht="12.75" customHeight="1">
      <c r="A666" s="460" t="s">
        <v>543</v>
      </c>
      <c r="B666" s="590" t="s">
        <v>550</v>
      </c>
      <c r="C666" s="591" t="s">
        <v>969</v>
      </c>
      <c r="D666" s="462">
        <v>237792</v>
      </c>
      <c r="E666" s="592">
        <v>5</v>
      </c>
      <c r="F666" s="376">
        <f t="shared" si="43"/>
        <v>107734</v>
      </c>
      <c r="G666" s="377">
        <f t="shared" si="44"/>
        <v>109161</v>
      </c>
      <c r="H666" s="388">
        <v>106202</v>
      </c>
      <c r="I666" s="389">
        <v>107461</v>
      </c>
      <c r="J666" s="388">
        <v>0</v>
      </c>
      <c r="K666" s="390"/>
      <c r="L666" s="381">
        <v>1532</v>
      </c>
      <c r="M666" s="388">
        <v>0</v>
      </c>
      <c r="N666" s="388">
        <v>0</v>
      </c>
      <c r="O666" s="389">
        <v>1700</v>
      </c>
      <c r="P666" s="389"/>
      <c r="Q666" s="390"/>
      <c r="R666" s="381">
        <v>0</v>
      </c>
      <c r="S666" s="390"/>
      <c r="T666" s="383">
        <f t="shared" si="45"/>
        <v>3547</v>
      </c>
      <c r="U666" s="384">
        <f t="shared" si="46"/>
        <v>3486</v>
      </c>
      <c r="V666" s="388">
        <v>3538</v>
      </c>
      <c r="W666" s="389">
        <v>3132</v>
      </c>
      <c r="X666" s="391"/>
      <c r="Y666" s="390"/>
      <c r="Z666" s="381">
        <v>9</v>
      </c>
      <c r="AA666" s="388"/>
      <c r="AB666" s="388"/>
      <c r="AC666" s="389">
        <v>354</v>
      </c>
      <c r="AD666" s="389"/>
      <c r="AE666" s="392"/>
      <c r="AF666" s="381"/>
      <c r="AG666" s="389"/>
    </row>
    <row r="667" spans="1:51" s="404" customFormat="1" ht="12.75" customHeight="1">
      <c r="A667" s="460" t="s">
        <v>543</v>
      </c>
      <c r="B667" s="495" t="s">
        <v>551</v>
      </c>
      <c r="C667" s="495"/>
      <c r="D667" s="462">
        <v>237932</v>
      </c>
      <c r="E667" s="463">
        <v>6</v>
      </c>
      <c r="F667" s="376">
        <f t="shared" si="43"/>
        <v>72217</v>
      </c>
      <c r="G667" s="377">
        <f t="shared" si="44"/>
        <v>76144</v>
      </c>
      <c r="H667" s="388">
        <v>67458</v>
      </c>
      <c r="I667" s="389">
        <v>67505</v>
      </c>
      <c r="J667" s="388">
        <v>2534</v>
      </c>
      <c r="K667" s="390">
        <v>4721</v>
      </c>
      <c r="L667" s="381">
        <v>2225</v>
      </c>
      <c r="M667" s="388">
        <v>0</v>
      </c>
      <c r="N667" s="388">
        <v>0</v>
      </c>
      <c r="O667" s="389">
        <v>3918</v>
      </c>
      <c r="P667" s="389"/>
      <c r="Q667" s="390"/>
      <c r="R667" s="381">
        <v>0</v>
      </c>
      <c r="S667" s="390"/>
      <c r="T667" s="383">
        <f t="shared" si="45"/>
        <v>618</v>
      </c>
      <c r="U667" s="384">
        <f t="shared" si="46"/>
        <v>1122</v>
      </c>
      <c r="V667" s="388">
        <v>3</v>
      </c>
      <c r="W667" s="389">
        <v>51</v>
      </c>
      <c r="X667" s="391">
        <v>615</v>
      </c>
      <c r="Y667" s="390">
        <v>1071</v>
      </c>
      <c r="Z667" s="381"/>
      <c r="AA667" s="388"/>
      <c r="AB667" s="388"/>
      <c r="AC667" s="389"/>
      <c r="AD667" s="389"/>
      <c r="AE667" s="392"/>
      <c r="AF667" s="381"/>
      <c r="AG667" s="389"/>
    </row>
    <row r="668" spans="1:51" s="404" customFormat="1" ht="12.75" customHeight="1">
      <c r="A668" s="460" t="s">
        <v>543</v>
      </c>
      <c r="B668" s="461" t="s">
        <v>552</v>
      </c>
      <c r="C668" s="461"/>
      <c r="D668" s="462">
        <v>237899</v>
      </c>
      <c r="E668" s="463">
        <v>6</v>
      </c>
      <c r="F668" s="376">
        <f t="shared" si="43"/>
        <v>75949</v>
      </c>
      <c r="G668" s="377">
        <f t="shared" si="44"/>
        <v>76697</v>
      </c>
      <c r="H668" s="388">
        <v>70128</v>
      </c>
      <c r="I668" s="389">
        <v>68122</v>
      </c>
      <c r="J668" s="388">
        <v>2169</v>
      </c>
      <c r="K668" s="390">
        <v>2359</v>
      </c>
      <c r="L668" s="381">
        <v>3652</v>
      </c>
      <c r="M668" s="388">
        <v>0</v>
      </c>
      <c r="N668" s="388">
        <v>0</v>
      </c>
      <c r="O668" s="389">
        <v>6216</v>
      </c>
      <c r="P668" s="389"/>
      <c r="Q668" s="390"/>
      <c r="R668" s="381">
        <v>0</v>
      </c>
      <c r="S668" s="390"/>
      <c r="T668" s="383">
        <f t="shared" si="45"/>
        <v>618</v>
      </c>
      <c r="U668" s="384">
        <f t="shared" si="46"/>
        <v>757</v>
      </c>
      <c r="V668" s="388">
        <v>618</v>
      </c>
      <c r="W668" s="389">
        <v>757</v>
      </c>
      <c r="X668" s="391"/>
      <c r="Y668" s="390"/>
      <c r="Z668" s="381"/>
      <c r="AA668" s="388"/>
      <c r="AB668" s="388"/>
      <c r="AC668" s="389"/>
      <c r="AD668" s="389"/>
      <c r="AE668" s="392"/>
      <c r="AF668" s="381"/>
      <c r="AG668" s="389"/>
    </row>
    <row r="669" spans="1:51" s="404" customFormat="1" ht="12.75" customHeight="1">
      <c r="A669" s="460" t="s">
        <v>543</v>
      </c>
      <c r="B669" s="461" t="s">
        <v>553</v>
      </c>
      <c r="C669" s="461"/>
      <c r="D669" s="462">
        <v>237950</v>
      </c>
      <c r="E669" s="463">
        <v>6</v>
      </c>
      <c r="F669" s="376">
        <f t="shared" si="43"/>
        <v>31616</v>
      </c>
      <c r="G669" s="377">
        <f t="shared" si="44"/>
        <v>32269</v>
      </c>
      <c r="H669" s="388">
        <v>28861</v>
      </c>
      <c r="I669" s="389">
        <v>29837</v>
      </c>
      <c r="J669" s="388">
        <v>552</v>
      </c>
      <c r="K669" s="390">
        <v>936</v>
      </c>
      <c r="L669" s="381">
        <v>2121</v>
      </c>
      <c r="M669" s="388">
        <v>0</v>
      </c>
      <c r="N669" s="388">
        <v>82</v>
      </c>
      <c r="O669" s="389">
        <v>1496</v>
      </c>
      <c r="P669" s="389"/>
      <c r="Q669" s="390"/>
      <c r="R669" s="381">
        <v>0</v>
      </c>
      <c r="S669" s="390"/>
      <c r="T669" s="383">
        <f t="shared" si="45"/>
        <v>0</v>
      </c>
      <c r="U669" s="384">
        <f t="shared" si="46"/>
        <v>0</v>
      </c>
      <c r="V669" s="388"/>
      <c r="W669" s="389"/>
      <c r="X669" s="391"/>
      <c r="Y669" s="390"/>
      <c r="Z669" s="381"/>
      <c r="AA669" s="388"/>
      <c r="AB669" s="388"/>
      <c r="AC669" s="389"/>
      <c r="AD669" s="389"/>
      <c r="AE669" s="392"/>
      <c r="AF669" s="381"/>
      <c r="AG669" s="389"/>
    </row>
    <row r="670" spans="1:51" s="404" customFormat="1" ht="12.75" customHeight="1">
      <c r="A670" s="460" t="s">
        <v>543</v>
      </c>
      <c r="B670" s="496" t="s">
        <v>554</v>
      </c>
      <c r="C670" s="496"/>
      <c r="D670" s="462">
        <v>237701</v>
      </c>
      <c r="E670" s="463">
        <v>7</v>
      </c>
      <c r="F670" s="376">
        <f t="shared" si="43"/>
        <v>40545</v>
      </c>
      <c r="G670" s="377">
        <f t="shared" si="44"/>
        <v>44503</v>
      </c>
      <c r="H670" s="388">
        <v>36171</v>
      </c>
      <c r="I670" s="389">
        <v>39718</v>
      </c>
      <c r="J670" s="388">
        <v>3335</v>
      </c>
      <c r="K670" s="390">
        <v>3084</v>
      </c>
      <c r="L670" s="381">
        <v>1036</v>
      </c>
      <c r="M670" s="388">
        <v>0</v>
      </c>
      <c r="N670" s="388">
        <v>3</v>
      </c>
      <c r="O670" s="389">
        <v>1701</v>
      </c>
      <c r="P670" s="389"/>
      <c r="Q670" s="390"/>
      <c r="R670" s="381">
        <v>0</v>
      </c>
      <c r="S670" s="390"/>
      <c r="T670" s="383">
        <f t="shared" si="45"/>
        <v>0</v>
      </c>
      <c r="U670" s="384">
        <f t="shared" si="46"/>
        <v>0</v>
      </c>
      <c r="V670" s="388"/>
      <c r="W670" s="389"/>
      <c r="X670" s="391"/>
      <c r="Y670" s="390"/>
      <c r="Z670" s="381"/>
      <c r="AA670" s="388"/>
      <c r="AB670" s="388"/>
      <c r="AC670" s="389"/>
      <c r="AD670" s="389"/>
      <c r="AE670" s="392"/>
      <c r="AF670" s="381"/>
      <c r="AG670" s="389"/>
    </row>
    <row r="671" spans="1:51" s="404" customFormat="1" ht="12.75" customHeight="1">
      <c r="A671" s="460" t="s">
        <v>543</v>
      </c>
      <c r="B671" s="461" t="s">
        <v>555</v>
      </c>
      <c r="C671" s="461"/>
      <c r="D671" s="462">
        <v>237686</v>
      </c>
      <c r="E671" s="463">
        <v>7</v>
      </c>
      <c r="F671" s="376">
        <f t="shared" si="43"/>
        <v>93550</v>
      </c>
      <c r="G671" s="377">
        <f t="shared" si="44"/>
        <v>105288</v>
      </c>
      <c r="H671" s="388">
        <v>58188</v>
      </c>
      <c r="I671" s="389">
        <v>63066</v>
      </c>
      <c r="J671" s="388">
        <v>14527</v>
      </c>
      <c r="K671" s="390">
        <v>16754</v>
      </c>
      <c r="L671" s="381">
        <v>19458</v>
      </c>
      <c r="M671" s="388">
        <v>0</v>
      </c>
      <c r="N671" s="388">
        <v>1377</v>
      </c>
      <c r="O671" s="389">
        <v>24240</v>
      </c>
      <c r="P671" s="389"/>
      <c r="Q671" s="390">
        <v>1228</v>
      </c>
      <c r="R671" s="381">
        <v>0</v>
      </c>
      <c r="S671" s="390"/>
      <c r="T671" s="383">
        <f t="shared" si="45"/>
        <v>0</v>
      </c>
      <c r="U671" s="384">
        <f t="shared" si="46"/>
        <v>0</v>
      </c>
      <c r="V671" s="388"/>
      <c r="W671" s="389"/>
      <c r="X671" s="391"/>
      <c r="Y671" s="390"/>
      <c r="Z671" s="381"/>
      <c r="AA671" s="388"/>
      <c r="AB671" s="388"/>
      <c r="AC671" s="389"/>
      <c r="AD671" s="389"/>
      <c r="AE671" s="392"/>
      <c r="AF671" s="381"/>
      <c r="AG671" s="389"/>
    </row>
    <row r="672" spans="1:51" s="404" customFormat="1" ht="12.75" customHeight="1">
      <c r="A672" s="460" t="s">
        <v>543</v>
      </c>
      <c r="B672" s="461" t="s">
        <v>556</v>
      </c>
      <c r="C672" s="461"/>
      <c r="D672" s="462">
        <v>446774</v>
      </c>
      <c r="E672" s="463">
        <v>10</v>
      </c>
      <c r="F672" s="376">
        <f t="shared" si="43"/>
        <v>40415</v>
      </c>
      <c r="G672" s="377">
        <f t="shared" si="44"/>
        <v>51702</v>
      </c>
      <c r="H672" s="388">
        <v>27747</v>
      </c>
      <c r="I672" s="389">
        <v>26465</v>
      </c>
      <c r="J672" s="388">
        <v>6387</v>
      </c>
      <c r="K672" s="390">
        <v>16456</v>
      </c>
      <c r="L672" s="381">
        <v>6194</v>
      </c>
      <c r="M672" s="388">
        <v>0</v>
      </c>
      <c r="N672" s="388">
        <v>0</v>
      </c>
      <c r="O672" s="389">
        <v>8445</v>
      </c>
      <c r="P672" s="389"/>
      <c r="Q672" s="390"/>
      <c r="R672" s="381">
        <v>87</v>
      </c>
      <c r="S672" s="390">
        <v>336</v>
      </c>
      <c r="T672" s="383">
        <f t="shared" si="45"/>
        <v>0</v>
      </c>
      <c r="U672" s="384">
        <f t="shared" si="46"/>
        <v>0</v>
      </c>
      <c r="V672" s="388"/>
      <c r="W672" s="389"/>
      <c r="X672" s="391"/>
      <c r="Y672" s="390"/>
      <c r="Z672" s="381"/>
      <c r="AA672" s="388"/>
      <c r="AB672" s="388"/>
      <c r="AC672" s="389"/>
      <c r="AD672" s="389"/>
      <c r="AE672" s="392"/>
      <c r="AF672" s="381"/>
      <c r="AG672" s="389"/>
    </row>
    <row r="673" spans="1:33" s="404" customFormat="1" ht="12.75" customHeight="1">
      <c r="A673" s="460" t="s">
        <v>543</v>
      </c>
      <c r="B673" s="461" t="s">
        <v>557</v>
      </c>
      <c r="C673" s="461"/>
      <c r="D673" s="462">
        <v>445674</v>
      </c>
      <c r="E673" s="463">
        <v>10</v>
      </c>
      <c r="F673" s="376">
        <f t="shared" si="43"/>
        <v>16666</v>
      </c>
      <c r="G673" s="377">
        <f t="shared" si="44"/>
        <v>17510</v>
      </c>
      <c r="H673" s="388">
        <v>14028</v>
      </c>
      <c r="I673" s="389">
        <v>13773</v>
      </c>
      <c r="J673" s="388">
        <v>766</v>
      </c>
      <c r="K673" s="390">
        <v>730</v>
      </c>
      <c r="L673" s="381">
        <v>1857</v>
      </c>
      <c r="M673" s="388">
        <v>0</v>
      </c>
      <c r="N673" s="388">
        <v>15</v>
      </c>
      <c r="O673" s="389">
        <v>3007</v>
      </c>
      <c r="P673" s="389"/>
      <c r="Q673" s="390"/>
      <c r="R673" s="381">
        <v>0</v>
      </c>
      <c r="S673" s="390"/>
      <c r="T673" s="383">
        <f t="shared" si="45"/>
        <v>0</v>
      </c>
      <c r="U673" s="384">
        <f t="shared" si="46"/>
        <v>0</v>
      </c>
      <c r="V673" s="388"/>
      <c r="W673" s="389"/>
      <c r="X673" s="391"/>
      <c r="Y673" s="390"/>
      <c r="Z673" s="381"/>
      <c r="AA673" s="388"/>
      <c r="AB673" s="388"/>
      <c r="AC673" s="389"/>
      <c r="AD673" s="389"/>
      <c r="AE673" s="392"/>
      <c r="AF673" s="381"/>
      <c r="AG673" s="389"/>
    </row>
    <row r="674" spans="1:33" s="404" customFormat="1" ht="12.75" customHeight="1" thickBot="1">
      <c r="A674" s="460" t="s">
        <v>543</v>
      </c>
      <c r="B674" s="461" t="s">
        <v>558</v>
      </c>
      <c r="C674" s="461"/>
      <c r="D674" s="462">
        <v>438708</v>
      </c>
      <c r="E674" s="463">
        <v>10</v>
      </c>
      <c r="F674" s="376">
        <f t="shared" si="43"/>
        <v>8901</v>
      </c>
      <c r="G674" s="377">
        <f t="shared" si="44"/>
        <v>10754</v>
      </c>
      <c r="H674" s="388">
        <v>4146</v>
      </c>
      <c r="I674" s="389">
        <v>6168</v>
      </c>
      <c r="J674" s="388">
        <v>2405</v>
      </c>
      <c r="K674" s="390">
        <v>2071</v>
      </c>
      <c r="L674" s="381">
        <v>2065</v>
      </c>
      <c r="M674" s="388">
        <f>120+165</f>
        <v>285</v>
      </c>
      <c r="N674" s="388">
        <v>0</v>
      </c>
      <c r="O674" s="389">
        <v>2449</v>
      </c>
      <c r="P674" s="389">
        <v>66</v>
      </c>
      <c r="Q674" s="390"/>
      <c r="R674" s="381">
        <v>0</v>
      </c>
      <c r="S674" s="390"/>
      <c r="T674" s="383">
        <f t="shared" si="45"/>
        <v>0</v>
      </c>
      <c r="U674" s="384">
        <f t="shared" si="46"/>
        <v>0</v>
      </c>
      <c r="V674" s="388"/>
      <c r="W674" s="389"/>
      <c r="X674" s="391"/>
      <c r="Y674" s="390"/>
      <c r="Z674" s="381"/>
      <c r="AA674" s="388"/>
      <c r="AB674" s="388"/>
      <c r="AC674" s="389"/>
      <c r="AD674" s="389"/>
      <c r="AE674" s="392"/>
      <c r="AF674" s="381"/>
      <c r="AG674" s="389"/>
    </row>
    <row r="675" spans="1:33" s="404" customFormat="1" ht="12.75" customHeight="1" thickBot="1">
      <c r="A675" s="460" t="s">
        <v>543</v>
      </c>
      <c r="B675" s="461" t="s">
        <v>559</v>
      </c>
      <c r="C675" s="461"/>
      <c r="D675" s="462">
        <v>445018</v>
      </c>
      <c r="E675" s="463">
        <v>10</v>
      </c>
      <c r="F675" s="376">
        <f t="shared" si="43"/>
        <v>37468</v>
      </c>
      <c r="G675" s="377">
        <f t="shared" si="44"/>
        <v>36892</v>
      </c>
      <c r="H675" s="388">
        <v>32838</v>
      </c>
      <c r="I675" s="389">
        <v>31293</v>
      </c>
      <c r="J675" s="388">
        <v>1299</v>
      </c>
      <c r="K675" s="390">
        <v>1767</v>
      </c>
      <c r="L675" s="381">
        <v>3331</v>
      </c>
      <c r="M675" s="388">
        <v>0</v>
      </c>
      <c r="N675" s="388">
        <v>0</v>
      </c>
      <c r="O675" s="389">
        <v>3832</v>
      </c>
      <c r="P675" s="389"/>
      <c r="Q675" s="390"/>
      <c r="R675" s="381">
        <v>0</v>
      </c>
      <c r="S675" s="390"/>
      <c r="T675" s="383">
        <f t="shared" si="45"/>
        <v>6</v>
      </c>
      <c r="U675" s="377">
        <f t="shared" si="46"/>
        <v>0</v>
      </c>
      <c r="V675" s="625">
        <v>6</v>
      </c>
      <c r="W675" s="624"/>
      <c r="X675" s="391"/>
      <c r="Y675" s="390"/>
      <c r="Z675" s="381"/>
      <c r="AA675" s="388"/>
      <c r="AB675" s="388"/>
      <c r="AC675" s="389"/>
      <c r="AD675" s="389"/>
      <c r="AE675" s="392"/>
      <c r="AF675" s="381"/>
      <c r="AG675" s="389"/>
    </row>
    <row r="676" spans="1:33" s="404" customFormat="1" ht="12.75" customHeight="1">
      <c r="A676" s="460" t="s">
        <v>543</v>
      </c>
      <c r="B676" s="461" t="s">
        <v>970</v>
      </c>
      <c r="C676" s="593" t="s">
        <v>971</v>
      </c>
      <c r="D676" s="462">
        <v>444954</v>
      </c>
      <c r="E676" s="463">
        <v>10</v>
      </c>
      <c r="F676" s="376">
        <f t="shared" si="43"/>
        <v>56020</v>
      </c>
      <c r="G676" s="377">
        <f t="shared" si="44"/>
        <v>57724</v>
      </c>
      <c r="H676" s="388">
        <v>30678</v>
      </c>
      <c r="I676" s="389">
        <v>30220</v>
      </c>
      <c r="J676" s="388">
        <v>19414</v>
      </c>
      <c r="K676" s="390">
        <v>17057</v>
      </c>
      <c r="L676" s="381">
        <v>5922</v>
      </c>
      <c r="M676" s="388">
        <v>6</v>
      </c>
      <c r="N676" s="388">
        <v>0</v>
      </c>
      <c r="O676" s="389">
        <v>10447</v>
      </c>
      <c r="P676" s="389"/>
      <c r="Q676" s="390"/>
      <c r="R676" s="381">
        <v>0</v>
      </c>
      <c r="S676" s="390"/>
      <c r="T676" s="383">
        <f t="shared" si="45"/>
        <v>0</v>
      </c>
      <c r="U676" s="384">
        <f t="shared" si="46"/>
        <v>0</v>
      </c>
      <c r="V676" s="388"/>
      <c r="W676" s="389"/>
      <c r="X676" s="391"/>
      <c r="Y676" s="390"/>
      <c r="Z676" s="381"/>
      <c r="AA676" s="388"/>
      <c r="AB676" s="388"/>
      <c r="AC676" s="389"/>
      <c r="AD676" s="389"/>
      <c r="AE676" s="392"/>
      <c r="AF676" s="381"/>
      <c r="AG676" s="389"/>
    </row>
    <row r="677" spans="1:33" s="404" customFormat="1" ht="12.75" customHeight="1">
      <c r="A677" s="460" t="s">
        <v>543</v>
      </c>
      <c r="B677" s="461" t="s">
        <v>560</v>
      </c>
      <c r="C677" s="593" t="s">
        <v>972</v>
      </c>
      <c r="D677" s="462">
        <v>447582</v>
      </c>
      <c r="E677" s="463">
        <v>10</v>
      </c>
      <c r="F677" s="376">
        <f t="shared" si="43"/>
        <v>56743</v>
      </c>
      <c r="G677" s="377">
        <f t="shared" si="44"/>
        <v>66980</v>
      </c>
      <c r="H677" s="388">
        <v>20579</v>
      </c>
      <c r="I677" s="389">
        <v>43791</v>
      </c>
      <c r="J677" s="388">
        <v>23021</v>
      </c>
      <c r="K677" s="390">
        <v>5903</v>
      </c>
      <c r="L677" s="381">
        <v>10374</v>
      </c>
      <c r="M677" s="388">
        <f>1620+1095</f>
        <v>2715</v>
      </c>
      <c r="N677" s="388">
        <v>54</v>
      </c>
      <c r="O677" s="389">
        <v>13126</v>
      </c>
      <c r="P677" s="389">
        <v>4124</v>
      </c>
      <c r="Q677" s="390">
        <v>36</v>
      </c>
      <c r="R677" s="381">
        <v>0</v>
      </c>
      <c r="S677" s="390"/>
      <c r="T677" s="383">
        <f t="shared" si="45"/>
        <v>0</v>
      </c>
      <c r="U677" s="384">
        <f t="shared" si="46"/>
        <v>0</v>
      </c>
      <c r="V677" s="388"/>
      <c r="W677" s="389"/>
      <c r="X677" s="391"/>
      <c r="Y677" s="390"/>
      <c r="Z677" s="381"/>
      <c r="AA677" s="388"/>
      <c r="AB677" s="388"/>
      <c r="AC677" s="389"/>
      <c r="AD677" s="389"/>
      <c r="AE677" s="392"/>
      <c r="AF677" s="381"/>
      <c r="AG677" s="389"/>
    </row>
    <row r="678" spans="1:33" s="404" customFormat="1" ht="12.75" customHeight="1">
      <c r="A678" s="460" t="s">
        <v>543</v>
      </c>
      <c r="B678" s="496" t="s">
        <v>561</v>
      </c>
      <c r="C678" s="594" t="s">
        <v>972</v>
      </c>
      <c r="D678" s="462">
        <v>443492</v>
      </c>
      <c r="E678" s="463">
        <v>10</v>
      </c>
      <c r="F678" s="376">
        <f t="shared" si="43"/>
        <v>59426</v>
      </c>
      <c r="G678" s="377">
        <f t="shared" si="44"/>
        <v>65108</v>
      </c>
      <c r="H678" s="388">
        <v>32313</v>
      </c>
      <c r="I678" s="389">
        <v>34513</v>
      </c>
      <c r="J678" s="388">
        <v>20648</v>
      </c>
      <c r="K678" s="390">
        <v>23070</v>
      </c>
      <c r="L678" s="381">
        <v>6465</v>
      </c>
      <c r="M678" s="388">
        <v>0</v>
      </c>
      <c r="N678" s="388">
        <v>0</v>
      </c>
      <c r="O678" s="389">
        <v>7525</v>
      </c>
      <c r="P678" s="389"/>
      <c r="Q678" s="390"/>
      <c r="R678" s="381">
        <v>0</v>
      </c>
      <c r="S678" s="390"/>
      <c r="T678" s="383">
        <f t="shared" si="45"/>
        <v>0</v>
      </c>
      <c r="U678" s="384">
        <f t="shared" si="46"/>
        <v>0</v>
      </c>
      <c r="V678" s="388"/>
      <c r="W678" s="389"/>
      <c r="X678" s="391"/>
      <c r="Y678" s="390"/>
      <c r="Z678" s="381"/>
      <c r="AA678" s="388"/>
      <c r="AB678" s="388"/>
      <c r="AC678" s="389"/>
      <c r="AD678" s="389"/>
      <c r="AE678" s="392"/>
      <c r="AF678" s="381"/>
      <c r="AG678" s="389"/>
    </row>
    <row r="679" spans="1:33" s="404" customFormat="1" ht="12.75" customHeight="1">
      <c r="A679" s="460" t="s">
        <v>543</v>
      </c>
      <c r="B679" s="461" t="s">
        <v>562</v>
      </c>
      <c r="C679" s="593"/>
      <c r="D679" s="462">
        <v>237817</v>
      </c>
      <c r="E679" s="463">
        <v>10</v>
      </c>
      <c r="F679" s="376">
        <f t="shared" si="43"/>
        <v>50791</v>
      </c>
      <c r="G679" s="377">
        <f t="shared" si="44"/>
        <v>51996</v>
      </c>
      <c r="H679" s="388">
        <v>37691</v>
      </c>
      <c r="I679" s="389">
        <v>38961</v>
      </c>
      <c r="J679" s="388">
        <v>4148</v>
      </c>
      <c r="K679" s="390">
        <v>3577</v>
      </c>
      <c r="L679" s="381">
        <v>5072</v>
      </c>
      <c r="M679" s="388">
        <v>3784</v>
      </c>
      <c r="N679" s="388">
        <v>96</v>
      </c>
      <c r="O679" s="389">
        <v>6090</v>
      </c>
      <c r="P679" s="389">
        <v>3368</v>
      </c>
      <c r="Q679" s="390"/>
      <c r="R679" s="381">
        <v>0</v>
      </c>
      <c r="S679" s="390"/>
      <c r="T679" s="383">
        <f t="shared" si="45"/>
        <v>0</v>
      </c>
      <c r="U679" s="384">
        <f t="shared" si="46"/>
        <v>0</v>
      </c>
      <c r="V679" s="388"/>
      <c r="W679" s="389"/>
      <c r="X679" s="391"/>
      <c r="Y679" s="390"/>
      <c r="Z679" s="381"/>
      <c r="AA679" s="388"/>
      <c r="AB679" s="388"/>
      <c r="AC679" s="389"/>
      <c r="AD679" s="389"/>
      <c r="AE679" s="392"/>
      <c r="AF679" s="381"/>
      <c r="AG679" s="389"/>
    </row>
    <row r="680" spans="1:33" s="404" customFormat="1" ht="12.75" customHeight="1">
      <c r="A680" s="460" t="s">
        <v>543</v>
      </c>
      <c r="B680" s="461" t="s">
        <v>563</v>
      </c>
      <c r="C680" s="593" t="s">
        <v>973</v>
      </c>
      <c r="D680" s="462">
        <v>238014</v>
      </c>
      <c r="E680" s="463">
        <v>10</v>
      </c>
      <c r="F680" s="376">
        <f t="shared" si="43"/>
        <v>65954</v>
      </c>
      <c r="G680" s="377">
        <f t="shared" si="44"/>
        <v>76666</v>
      </c>
      <c r="H680" s="388">
        <v>56730</v>
      </c>
      <c r="I680" s="389">
        <v>64578</v>
      </c>
      <c r="J680" s="388">
        <v>0</v>
      </c>
      <c r="K680" s="390"/>
      <c r="L680" s="381">
        <v>6424</v>
      </c>
      <c r="M680" s="388">
        <v>2800</v>
      </c>
      <c r="N680" s="388">
        <v>0</v>
      </c>
      <c r="O680" s="389">
        <v>9569</v>
      </c>
      <c r="P680" s="389">
        <v>2519</v>
      </c>
      <c r="Q680" s="390"/>
      <c r="R680" s="381">
        <v>0</v>
      </c>
      <c r="S680" s="390"/>
      <c r="T680" s="383">
        <f t="shared" si="45"/>
        <v>0</v>
      </c>
      <c r="U680" s="384">
        <f t="shared" si="46"/>
        <v>0</v>
      </c>
      <c r="V680" s="388"/>
      <c r="W680" s="389"/>
      <c r="X680" s="391"/>
      <c r="Y680" s="390"/>
      <c r="Z680" s="381"/>
      <c r="AA680" s="388"/>
      <c r="AB680" s="388"/>
      <c r="AC680" s="389"/>
      <c r="AD680" s="389"/>
      <c r="AE680" s="392"/>
      <c r="AF680" s="381"/>
      <c r="AG680" s="389"/>
    </row>
  </sheetData>
  <sortState ref="A116:AG143">
    <sortCondition ref="D116:D143"/>
  </sortState>
  <conditionalFormatting sqref="AC6:AE6 S6 AG6 W6 Y6 O6:Q6 K6 I6">
    <cfRule type="expression" dxfId="555" priority="665" stopIfTrue="1">
      <formula>I6&lt;(H6-(H6*0.1))</formula>
    </cfRule>
    <cfRule type="expression" dxfId="554" priority="666" stopIfTrue="1">
      <formula>I6&gt;(H6+(H6*0.1))</formula>
    </cfRule>
  </conditionalFormatting>
  <conditionalFormatting sqref="I6:I43 AG6:AG43 K6:K43 S6:S43 W6:W43 Y6:Y43">
    <cfRule type="cellIs" dxfId="553" priority="599" stopIfTrue="1" operator="greaterThan">
      <formula>H6+(H6*0.1)</formula>
    </cfRule>
    <cfRule type="cellIs" dxfId="552" priority="600" stopIfTrue="1" operator="lessThan">
      <formula>H6-(H6*0.1)</formula>
    </cfRule>
  </conditionalFormatting>
  <conditionalFormatting sqref="O6:Q43 AC6:AE43">
    <cfRule type="cellIs" dxfId="551" priority="597" stopIfTrue="1" operator="greaterThan">
      <formula>L6+(L6*0.1)</formula>
    </cfRule>
    <cfRule type="cellIs" dxfId="550" priority="598" stopIfTrue="1" operator="lessThan">
      <formula>L6-(L6*0.1)</formula>
    </cfRule>
  </conditionalFormatting>
  <conditionalFormatting sqref="I14 K14 S14 W14 Y14 AG14">
    <cfRule type="cellIs" dxfId="549" priority="595" stopIfTrue="1" operator="greaterThan">
      <formula>H14+(H14*0.1)</formula>
    </cfRule>
    <cfRule type="cellIs" dxfId="548" priority="596" stopIfTrue="1" operator="lessThan">
      <formula>H14-(H14*0.1)</formula>
    </cfRule>
  </conditionalFormatting>
  <conditionalFormatting sqref="O14:Q14 AC14:AE14">
    <cfRule type="cellIs" dxfId="547" priority="593" stopIfTrue="1" operator="greaterThan">
      <formula>L14+(L14*0.1)</formula>
    </cfRule>
    <cfRule type="cellIs" dxfId="546" priority="594" stopIfTrue="1" operator="lessThan">
      <formula>L14-(L14*0.1)</formula>
    </cfRule>
  </conditionalFormatting>
  <conditionalFormatting sqref="I11 K11 S11 W11 Y11 AG11">
    <cfRule type="cellIs" dxfId="545" priority="591" stopIfTrue="1" operator="greaterThan">
      <formula>H11+(H11*0.1)</formula>
    </cfRule>
    <cfRule type="cellIs" dxfId="544" priority="592" stopIfTrue="1" operator="lessThan">
      <formula>H11-(H11*0.1)</formula>
    </cfRule>
  </conditionalFormatting>
  <conditionalFormatting sqref="O11:Q11 AC11:AE11">
    <cfRule type="cellIs" dxfId="543" priority="589" stopIfTrue="1" operator="greaterThan">
      <formula>L11+(L11*0.1)</formula>
    </cfRule>
    <cfRule type="cellIs" dxfId="542" priority="590" stopIfTrue="1" operator="lessThan">
      <formula>L11-(L11*0.1)</formula>
    </cfRule>
  </conditionalFormatting>
  <conditionalFormatting sqref="I7 K7 S7 W7 Y7 AG7">
    <cfRule type="cellIs" dxfId="541" priority="587" stopIfTrue="1" operator="greaterThan">
      <formula>H7+(H7*0.1)</formula>
    </cfRule>
    <cfRule type="cellIs" dxfId="540" priority="588" stopIfTrue="1" operator="lessThan">
      <formula>H7-(H7*0.1)</formula>
    </cfRule>
  </conditionalFormatting>
  <conditionalFormatting sqref="O7:Q7 AC7:AE7">
    <cfRule type="cellIs" dxfId="539" priority="585" stopIfTrue="1" operator="greaterThan">
      <formula>L7+(L7*0.1)</formula>
    </cfRule>
    <cfRule type="cellIs" dxfId="538" priority="586" stopIfTrue="1" operator="lessThan">
      <formula>L7-(L7*0.1)</formula>
    </cfRule>
  </conditionalFormatting>
  <conditionalFormatting sqref="I8 K8 S8 W8 Y8 AG8">
    <cfRule type="cellIs" dxfId="537" priority="583" stopIfTrue="1" operator="greaterThan">
      <formula>H8+(H8*0.1)</formula>
    </cfRule>
    <cfRule type="cellIs" dxfId="536" priority="584" stopIfTrue="1" operator="lessThan">
      <formula>H8-(H8*0.1)</formula>
    </cfRule>
  </conditionalFormatting>
  <conditionalFormatting sqref="O8:Q8 AC8:AE8">
    <cfRule type="cellIs" dxfId="535" priority="581" stopIfTrue="1" operator="greaterThan">
      <formula>L8+(L8*0.1)</formula>
    </cfRule>
    <cfRule type="cellIs" dxfId="534" priority="582" stopIfTrue="1" operator="lessThan">
      <formula>L8-(L8*0.1)</formula>
    </cfRule>
  </conditionalFormatting>
  <conditionalFormatting sqref="I6:I43 K6:K43 S6:S43 W6:W43 Y6:Y43 AG6:AG43">
    <cfRule type="cellIs" dxfId="533" priority="579" stopIfTrue="1" operator="greaterThan">
      <formula>H6+(H6*0.1)</formula>
    </cfRule>
    <cfRule type="cellIs" dxfId="532" priority="580" stopIfTrue="1" operator="lessThan">
      <formula>H6-(H6*0.1)</formula>
    </cfRule>
  </conditionalFormatting>
  <conditionalFormatting sqref="O6:Q43 AC6:AE43">
    <cfRule type="cellIs" dxfId="531" priority="577" stopIfTrue="1" operator="greaterThan">
      <formula>L6+(L6*0.1)</formula>
    </cfRule>
    <cfRule type="cellIs" dxfId="530" priority="578" stopIfTrue="1" operator="lessThan">
      <formula>L6-(L6*0.1)</formula>
    </cfRule>
  </conditionalFormatting>
  <conditionalFormatting sqref="I17 K17 S17 W17 Y17 AG17">
    <cfRule type="cellIs" dxfId="529" priority="575" stopIfTrue="1" operator="greaterThan">
      <formula>H17+(H17*0.1)</formula>
    </cfRule>
    <cfRule type="cellIs" dxfId="528" priority="576" stopIfTrue="1" operator="lessThan">
      <formula>H17-(H17*0.1)</formula>
    </cfRule>
  </conditionalFormatting>
  <conditionalFormatting sqref="O17:Q17 AC17:AE17">
    <cfRule type="cellIs" dxfId="527" priority="573" stopIfTrue="1" operator="greaterThan">
      <formula>L17+(L17*0.1)</formula>
    </cfRule>
    <cfRule type="cellIs" dxfId="526" priority="574" stopIfTrue="1" operator="lessThan">
      <formula>L17-(L17*0.1)</formula>
    </cfRule>
  </conditionalFormatting>
  <conditionalFormatting sqref="I13 K13 S13 W13 Y13 AG13">
    <cfRule type="cellIs" dxfId="525" priority="571" stopIfTrue="1" operator="greaterThan">
      <formula>H13+(H13*0.1)</formula>
    </cfRule>
    <cfRule type="cellIs" dxfId="524" priority="572" stopIfTrue="1" operator="lessThan">
      <formula>H13-(H13*0.1)</formula>
    </cfRule>
  </conditionalFormatting>
  <conditionalFormatting sqref="O13:Q13 AC13:AE13">
    <cfRule type="cellIs" dxfId="523" priority="569" stopIfTrue="1" operator="greaterThan">
      <formula>L13+(L13*0.1)</formula>
    </cfRule>
    <cfRule type="cellIs" dxfId="522" priority="570" stopIfTrue="1" operator="lessThan">
      <formula>L13-(L13*0.1)</formula>
    </cfRule>
  </conditionalFormatting>
  <conditionalFormatting sqref="I19 K19 S19 W19 Y19 AG19">
    <cfRule type="cellIs" dxfId="521" priority="567" stopIfTrue="1" operator="greaterThan">
      <formula>H19+(H19*0.1)</formula>
    </cfRule>
    <cfRule type="cellIs" dxfId="520" priority="568" stopIfTrue="1" operator="lessThan">
      <formula>H19-(H19*0.1)</formula>
    </cfRule>
  </conditionalFormatting>
  <conditionalFormatting sqref="O19:Q19 AC19:AE19">
    <cfRule type="cellIs" dxfId="519" priority="565" stopIfTrue="1" operator="greaterThan">
      <formula>L19+(L19*0.1)</formula>
    </cfRule>
    <cfRule type="cellIs" dxfId="518" priority="566" stopIfTrue="1" operator="lessThan">
      <formula>L19-(L19*0.1)</formula>
    </cfRule>
  </conditionalFormatting>
  <conditionalFormatting sqref="I6 K6 S6 W6 Y6 AG6">
    <cfRule type="cellIs" dxfId="517" priority="563" stopIfTrue="1" operator="greaterThan">
      <formula>H6+(H6*0.1)</formula>
    </cfRule>
    <cfRule type="cellIs" dxfId="516" priority="564" stopIfTrue="1" operator="lessThan">
      <formula>H6-(H6*0.1)</formula>
    </cfRule>
  </conditionalFormatting>
  <conditionalFormatting sqref="O6:Q6 AC6:AE6">
    <cfRule type="cellIs" dxfId="515" priority="561" stopIfTrue="1" operator="greaterThan">
      <formula>L6+(L6*0.1)</formula>
    </cfRule>
    <cfRule type="cellIs" dxfId="514" priority="562" stopIfTrue="1" operator="lessThan">
      <formula>L6-(L6*0.1)</formula>
    </cfRule>
  </conditionalFormatting>
  <conditionalFormatting sqref="I16 K16 S16 W16 Y16 AG16">
    <cfRule type="cellIs" dxfId="513" priority="559" stopIfTrue="1" operator="greaterThan">
      <formula>H16+(H16*0.1)</formula>
    </cfRule>
    <cfRule type="cellIs" dxfId="512" priority="560" stopIfTrue="1" operator="lessThan">
      <formula>H16-(H16*0.1)</formula>
    </cfRule>
  </conditionalFormatting>
  <conditionalFormatting sqref="O16:Q16 AC16:AE16">
    <cfRule type="cellIs" dxfId="511" priority="557" stopIfTrue="1" operator="greaterThan">
      <formula>L16+(L16*0.1)</formula>
    </cfRule>
    <cfRule type="cellIs" dxfId="510" priority="558" stopIfTrue="1" operator="lessThan">
      <formula>L16-(L16*0.1)</formula>
    </cfRule>
  </conditionalFormatting>
  <conditionalFormatting sqref="I18 K18 S18 W18 Y18 AG18">
    <cfRule type="cellIs" dxfId="509" priority="555" stopIfTrue="1" operator="greaterThan">
      <formula>H18+(H18*0.1)</formula>
    </cfRule>
    <cfRule type="cellIs" dxfId="508" priority="556" stopIfTrue="1" operator="lessThan">
      <formula>H18-(H18*0.1)</formula>
    </cfRule>
  </conditionalFormatting>
  <conditionalFormatting sqref="O18:Q18 AC18:AE18">
    <cfRule type="cellIs" dxfId="507" priority="553" stopIfTrue="1" operator="greaterThan">
      <formula>L18+(L18*0.1)</formula>
    </cfRule>
    <cfRule type="cellIs" dxfId="506" priority="554" stopIfTrue="1" operator="lessThan">
      <formula>L18-(L18*0.1)</formula>
    </cfRule>
  </conditionalFormatting>
  <conditionalFormatting sqref="I20:I43 S20:S43 W20:W43 Y20:Y43 AG20:AG43 K20:K43">
    <cfRule type="cellIs" dxfId="505" priority="551" stopIfTrue="1" operator="greaterThan">
      <formula>H20+(H20*0.1)</formula>
    </cfRule>
    <cfRule type="cellIs" dxfId="504" priority="552" stopIfTrue="1" operator="lessThan">
      <formula>H20-(H20*0.1)</formula>
    </cfRule>
  </conditionalFormatting>
  <conditionalFormatting sqref="O20:Q43 AC20:AE43">
    <cfRule type="cellIs" dxfId="503" priority="549" stopIfTrue="1" operator="greaterThan">
      <formula>L20+(L20*0.1)</formula>
    </cfRule>
    <cfRule type="cellIs" dxfId="502" priority="550" stopIfTrue="1" operator="lessThan">
      <formula>L20-(L20*0.1)</formula>
    </cfRule>
  </conditionalFormatting>
  <conditionalFormatting sqref="I20 K20 S20 W20 Y20 AG20">
    <cfRule type="cellIs" dxfId="501" priority="547" stopIfTrue="1" operator="greaterThan">
      <formula>H20+(H20*0.1)</formula>
    </cfRule>
    <cfRule type="cellIs" dxfId="500" priority="548" stopIfTrue="1" operator="lessThan">
      <formula>H20-(H20*0.1)</formula>
    </cfRule>
  </conditionalFormatting>
  <conditionalFormatting sqref="O20:Q20 AC20:AE20">
    <cfRule type="cellIs" dxfId="499" priority="545" stopIfTrue="1" operator="greaterThan">
      <formula>L20+(L20*0.1)</formula>
    </cfRule>
    <cfRule type="cellIs" dxfId="498" priority="546" stopIfTrue="1" operator="lessThan">
      <formula>L20-(L20*0.1)</formula>
    </cfRule>
  </conditionalFormatting>
  <conditionalFormatting sqref="I41 K41 S41 W41 Y41 AG41">
    <cfRule type="cellIs" dxfId="497" priority="543" stopIfTrue="1" operator="greaterThan">
      <formula>H41+(H41*0.1)</formula>
    </cfRule>
    <cfRule type="cellIs" dxfId="496" priority="544" stopIfTrue="1" operator="lessThan">
      <formula>H41-(H41*0.1)</formula>
    </cfRule>
  </conditionalFormatting>
  <conditionalFormatting sqref="O41:Q41 AC41:AE41">
    <cfRule type="cellIs" dxfId="495" priority="541" stopIfTrue="1" operator="greaterThan">
      <formula>L41+(L41*0.1)</formula>
    </cfRule>
    <cfRule type="cellIs" dxfId="494" priority="542" stopIfTrue="1" operator="lessThan">
      <formula>L41-(L41*0.1)</formula>
    </cfRule>
  </conditionalFormatting>
  <conditionalFormatting sqref="I25 K25 S25 W25 Y25 AG25">
    <cfRule type="cellIs" dxfId="493" priority="539" stopIfTrue="1" operator="greaterThan">
      <formula>H25+(H25*0.1)</formula>
    </cfRule>
    <cfRule type="cellIs" dxfId="492" priority="540" stopIfTrue="1" operator="lessThan">
      <formula>H25-(H25*0.1)</formula>
    </cfRule>
  </conditionalFormatting>
  <conditionalFormatting sqref="O25:Q25 AC25:AE25">
    <cfRule type="cellIs" dxfId="491" priority="537" stopIfTrue="1" operator="greaterThan">
      <formula>L25+(L25*0.1)</formula>
    </cfRule>
    <cfRule type="cellIs" dxfId="490" priority="538" stopIfTrue="1" operator="lessThan">
      <formula>L25-(L25*0.1)</formula>
    </cfRule>
  </conditionalFormatting>
  <conditionalFormatting sqref="I40 K40 S40 W40 Y40 AG40">
    <cfRule type="cellIs" dxfId="489" priority="535" stopIfTrue="1" operator="greaterThan">
      <formula>H40+(H40*0.1)</formula>
    </cfRule>
    <cfRule type="cellIs" dxfId="488" priority="536" stopIfTrue="1" operator="lessThan">
      <formula>H40-(H40*0.1)</formula>
    </cfRule>
  </conditionalFormatting>
  <conditionalFormatting sqref="O40:Q40 AC40:AE40">
    <cfRule type="cellIs" dxfId="487" priority="533" stopIfTrue="1" operator="greaterThan">
      <formula>L40+(L40*0.1)</formula>
    </cfRule>
    <cfRule type="cellIs" dxfId="486" priority="534" stopIfTrue="1" operator="lessThan">
      <formula>L40-(L40*0.1)</formula>
    </cfRule>
  </conditionalFormatting>
  <conditionalFormatting sqref="I23 K23 S23 W23 Y23 AG23">
    <cfRule type="cellIs" dxfId="485" priority="531" stopIfTrue="1" operator="greaterThan">
      <formula>H23+(H23*0.1)</formula>
    </cfRule>
    <cfRule type="cellIs" dxfId="484" priority="532" stopIfTrue="1" operator="lessThan">
      <formula>H23-(H23*0.1)</formula>
    </cfRule>
  </conditionalFormatting>
  <conditionalFormatting sqref="O23:Q23 AC23:AE23">
    <cfRule type="cellIs" dxfId="483" priority="529" stopIfTrue="1" operator="greaterThan">
      <formula>L23+(L23*0.1)</formula>
    </cfRule>
    <cfRule type="cellIs" dxfId="482" priority="530" stopIfTrue="1" operator="lessThan">
      <formula>L23-(L23*0.1)</formula>
    </cfRule>
  </conditionalFormatting>
  <conditionalFormatting sqref="I36 K36 S36 W36 Y36 AG36">
    <cfRule type="cellIs" dxfId="481" priority="527" stopIfTrue="1" operator="greaterThan">
      <formula>H36+(H36*0.1)</formula>
    </cfRule>
    <cfRule type="cellIs" dxfId="480" priority="528" stopIfTrue="1" operator="lessThan">
      <formula>H36-(H36*0.1)</formula>
    </cfRule>
  </conditionalFormatting>
  <conditionalFormatting sqref="O36:Q36 AC36:AE36">
    <cfRule type="cellIs" dxfId="479" priority="525" stopIfTrue="1" operator="greaterThan">
      <formula>L36+(L36*0.1)</formula>
    </cfRule>
    <cfRule type="cellIs" dxfId="478" priority="526" stopIfTrue="1" operator="lessThan">
      <formula>L36-(L36*0.1)</formula>
    </cfRule>
  </conditionalFormatting>
  <conditionalFormatting sqref="I28 K28 S28 W28 Y28 AG28">
    <cfRule type="cellIs" dxfId="477" priority="523" stopIfTrue="1" operator="greaterThan">
      <formula>H28+(H28*0.1)</formula>
    </cfRule>
    <cfRule type="cellIs" dxfId="476" priority="524" stopIfTrue="1" operator="lessThan">
      <formula>H28-(H28*0.1)</formula>
    </cfRule>
  </conditionalFormatting>
  <conditionalFormatting sqref="O28:Q28 AC28:AE28">
    <cfRule type="cellIs" dxfId="475" priority="521" stopIfTrue="1" operator="greaterThan">
      <formula>L28+(L28*0.1)</formula>
    </cfRule>
    <cfRule type="cellIs" dxfId="474" priority="522" stopIfTrue="1" operator="lessThan">
      <formula>L28-(L28*0.1)</formula>
    </cfRule>
  </conditionalFormatting>
  <conditionalFormatting sqref="I32 K32 S32 W32 Y32 AG32">
    <cfRule type="cellIs" dxfId="473" priority="519" stopIfTrue="1" operator="greaterThan">
      <formula>H32+(H32*0.1)</formula>
    </cfRule>
    <cfRule type="cellIs" dxfId="472" priority="520" stopIfTrue="1" operator="lessThan">
      <formula>H32-(H32*0.1)</formula>
    </cfRule>
  </conditionalFormatting>
  <conditionalFormatting sqref="O32:Q32 AC32:AE32">
    <cfRule type="cellIs" dxfId="471" priority="517" stopIfTrue="1" operator="greaterThan">
      <formula>L32+(L32*0.1)</formula>
    </cfRule>
    <cfRule type="cellIs" dxfId="470" priority="518" stopIfTrue="1" operator="lessThan">
      <formula>L32-(L32*0.1)</formula>
    </cfRule>
  </conditionalFormatting>
  <conditionalFormatting sqref="I32 K32 S32 W32 Y32 AG32">
    <cfRule type="cellIs" dxfId="469" priority="515" stopIfTrue="1" operator="greaterThan">
      <formula>H32+(H32*0.1)</formula>
    </cfRule>
    <cfRule type="cellIs" dxfId="468" priority="516" stopIfTrue="1" operator="lessThan">
      <formula>H32-(H32*0.1)</formula>
    </cfRule>
  </conditionalFormatting>
  <conditionalFormatting sqref="O32:Q32 AC32:AE32">
    <cfRule type="cellIs" dxfId="467" priority="513" stopIfTrue="1" operator="greaterThan">
      <formula>L32+(L32*0.1)</formula>
    </cfRule>
    <cfRule type="cellIs" dxfId="466" priority="514" stopIfTrue="1" operator="lessThan">
      <formula>L32-(L32*0.1)</formula>
    </cfRule>
  </conditionalFormatting>
  <conditionalFormatting sqref="I22 K22 S22 W22 Y22 AG22">
    <cfRule type="cellIs" dxfId="465" priority="511" stopIfTrue="1" operator="greaterThan">
      <formula>H22+(H22*0.1)</formula>
    </cfRule>
    <cfRule type="cellIs" dxfId="464" priority="512" stopIfTrue="1" operator="lessThan">
      <formula>H22-(H22*0.1)</formula>
    </cfRule>
  </conditionalFormatting>
  <conditionalFormatting sqref="O22:Q22 AC22:AE22">
    <cfRule type="cellIs" dxfId="463" priority="509" stopIfTrue="1" operator="greaterThan">
      <formula>L22+(L22*0.1)</formula>
    </cfRule>
    <cfRule type="cellIs" dxfId="462" priority="510" stopIfTrue="1" operator="lessThan">
      <formula>L22-(L22*0.1)</formula>
    </cfRule>
  </conditionalFormatting>
  <conditionalFormatting sqref="I34 K34 S34 W34 Y34 AG34">
    <cfRule type="cellIs" dxfId="461" priority="507" stopIfTrue="1" operator="greaterThan">
      <formula>H34+(H34*0.1)</formula>
    </cfRule>
    <cfRule type="cellIs" dxfId="460" priority="508" stopIfTrue="1" operator="lessThan">
      <formula>H34-(H34*0.1)</formula>
    </cfRule>
  </conditionalFormatting>
  <conditionalFormatting sqref="O34:Q34 AC34:AE34">
    <cfRule type="cellIs" dxfId="459" priority="505" stopIfTrue="1" operator="greaterThan">
      <formula>L34+(L34*0.1)</formula>
    </cfRule>
    <cfRule type="cellIs" dxfId="458" priority="506" stopIfTrue="1" operator="lessThan">
      <formula>L34-(L34*0.1)</formula>
    </cfRule>
  </conditionalFormatting>
  <conditionalFormatting sqref="I33 K33 S33 W33 Y33 AG33">
    <cfRule type="cellIs" dxfId="457" priority="503" stopIfTrue="1" operator="greaterThan">
      <formula>H33+(H33*0.1)</formula>
    </cfRule>
    <cfRule type="cellIs" dxfId="456" priority="504" stopIfTrue="1" operator="lessThan">
      <formula>H33-(H33*0.1)</formula>
    </cfRule>
  </conditionalFormatting>
  <conditionalFormatting sqref="O33:Q33 AC33:AE33">
    <cfRule type="cellIs" dxfId="455" priority="501" stopIfTrue="1" operator="greaterThan">
      <formula>L33+(L33*0.1)</formula>
    </cfRule>
    <cfRule type="cellIs" dxfId="454" priority="502" stopIfTrue="1" operator="lessThan">
      <formula>L33-(L33*0.1)</formula>
    </cfRule>
  </conditionalFormatting>
  <conditionalFormatting sqref="I24 K24 S24 W24 Y24 AG24">
    <cfRule type="cellIs" dxfId="453" priority="499" stopIfTrue="1" operator="greaterThan">
      <formula>H24+(H24*0.1)</formula>
    </cfRule>
    <cfRule type="cellIs" dxfId="452" priority="500" stopIfTrue="1" operator="lessThan">
      <formula>H24-(H24*0.1)</formula>
    </cfRule>
  </conditionalFormatting>
  <conditionalFormatting sqref="O24:Q24 AC24:AE24">
    <cfRule type="cellIs" dxfId="451" priority="497" stopIfTrue="1" operator="greaterThan">
      <formula>L24+(L24*0.1)</formula>
    </cfRule>
    <cfRule type="cellIs" dxfId="450" priority="498" stopIfTrue="1" operator="lessThan">
      <formula>L24-(L24*0.1)</formula>
    </cfRule>
  </conditionalFormatting>
  <conditionalFormatting sqref="I37 K37 S37 W37 Y37 AG37">
    <cfRule type="cellIs" dxfId="449" priority="495" stopIfTrue="1" operator="greaterThan">
      <formula>H37+(H37*0.1)</formula>
    </cfRule>
    <cfRule type="cellIs" dxfId="448" priority="496" stopIfTrue="1" operator="lessThan">
      <formula>H37-(H37*0.1)</formula>
    </cfRule>
  </conditionalFormatting>
  <conditionalFormatting sqref="O37:Q37 AC37:AE37">
    <cfRule type="cellIs" dxfId="447" priority="493" stopIfTrue="1" operator="greaterThan">
      <formula>L37+(L37*0.1)</formula>
    </cfRule>
    <cfRule type="cellIs" dxfId="446" priority="494" stopIfTrue="1" operator="lessThan">
      <formula>L37-(L37*0.1)</formula>
    </cfRule>
  </conditionalFormatting>
  <conditionalFormatting sqref="I39 K39 S39 W39 Y39 AG39">
    <cfRule type="cellIs" dxfId="445" priority="491" stopIfTrue="1" operator="greaterThan">
      <formula>H39+(H39*0.1)</formula>
    </cfRule>
    <cfRule type="cellIs" dxfId="444" priority="492" stopIfTrue="1" operator="lessThan">
      <formula>H39-(H39*0.1)</formula>
    </cfRule>
  </conditionalFormatting>
  <conditionalFormatting sqref="O39:Q39 AC39:AE39">
    <cfRule type="cellIs" dxfId="443" priority="489" stopIfTrue="1" operator="greaterThan">
      <formula>L39+(L39*0.1)</formula>
    </cfRule>
    <cfRule type="cellIs" dxfId="442" priority="490" stopIfTrue="1" operator="lessThan">
      <formula>L39-(L39*0.1)</formula>
    </cfRule>
  </conditionalFormatting>
  <conditionalFormatting sqref="I38 K38 S38 W38 Y38 AG38">
    <cfRule type="cellIs" dxfId="441" priority="487" stopIfTrue="1" operator="greaterThan">
      <formula>H38+(H38*0.1)</formula>
    </cfRule>
    <cfRule type="cellIs" dxfId="440" priority="488" stopIfTrue="1" operator="lessThan">
      <formula>H38-(H38*0.1)</formula>
    </cfRule>
  </conditionalFormatting>
  <conditionalFormatting sqref="O38:Q38 AC38:AE38">
    <cfRule type="cellIs" dxfId="439" priority="485" stopIfTrue="1" operator="greaterThan">
      <formula>L38+(L38*0.1)</formula>
    </cfRule>
    <cfRule type="cellIs" dxfId="438" priority="486" stopIfTrue="1" operator="lessThan">
      <formula>L38-(L38*0.1)</formula>
    </cfRule>
  </conditionalFormatting>
  <conditionalFormatting sqref="I31 K31 S31 W31 Y31 AG31">
    <cfRule type="cellIs" dxfId="437" priority="483" stopIfTrue="1" operator="greaterThan">
      <formula>H31+(H31*0.1)</formula>
    </cfRule>
    <cfRule type="cellIs" dxfId="436" priority="484" stopIfTrue="1" operator="lessThan">
      <formula>H31-(H31*0.1)</formula>
    </cfRule>
  </conditionalFormatting>
  <conditionalFormatting sqref="O31:Q31 AC31:AE31">
    <cfRule type="cellIs" dxfId="435" priority="481" stopIfTrue="1" operator="greaterThan">
      <formula>L31+(L31*0.1)</formula>
    </cfRule>
    <cfRule type="cellIs" dxfId="434" priority="482" stopIfTrue="1" operator="lessThan">
      <formula>L31-(L31*0.1)</formula>
    </cfRule>
  </conditionalFormatting>
  <conditionalFormatting sqref="I27 K27 S27 W27 Y27 AG27">
    <cfRule type="cellIs" dxfId="433" priority="479" stopIfTrue="1" operator="greaterThan">
      <formula>H27+(H27*0.1)</formula>
    </cfRule>
    <cfRule type="cellIs" dxfId="432" priority="480" stopIfTrue="1" operator="lessThan">
      <formula>H27-(H27*0.1)</formula>
    </cfRule>
  </conditionalFormatting>
  <conditionalFormatting sqref="O27:Q27 AC27:AE27">
    <cfRule type="cellIs" dxfId="431" priority="477" stopIfTrue="1" operator="greaterThan">
      <formula>L27+(L27*0.1)</formula>
    </cfRule>
    <cfRule type="cellIs" dxfId="430" priority="478" stopIfTrue="1" operator="lessThan">
      <formula>L27-(L27*0.1)</formula>
    </cfRule>
  </conditionalFormatting>
  <conditionalFormatting sqref="I21 K21 S21 W21 Y21 AG21">
    <cfRule type="cellIs" dxfId="429" priority="475" stopIfTrue="1" operator="greaterThan">
      <formula>H21+(H21*0.1)</formula>
    </cfRule>
    <cfRule type="cellIs" dxfId="428" priority="476" stopIfTrue="1" operator="lessThan">
      <formula>H21-(H21*0.1)</formula>
    </cfRule>
  </conditionalFormatting>
  <conditionalFormatting sqref="O21:Q21 AC21:AE21">
    <cfRule type="cellIs" dxfId="427" priority="473" stopIfTrue="1" operator="greaterThan">
      <formula>L21+(L21*0.1)</formula>
    </cfRule>
    <cfRule type="cellIs" dxfId="426" priority="474" stopIfTrue="1" operator="lessThan">
      <formula>L21-(L21*0.1)</formula>
    </cfRule>
  </conditionalFormatting>
  <conditionalFormatting sqref="I28 K28 S28 W28 Y28 AG28">
    <cfRule type="cellIs" dxfId="425" priority="471" stopIfTrue="1" operator="greaterThan">
      <formula>H28+(H28*0.1)</formula>
    </cfRule>
    <cfRule type="cellIs" dxfId="424" priority="472" stopIfTrue="1" operator="lessThan">
      <formula>H28-(H28*0.1)</formula>
    </cfRule>
  </conditionalFormatting>
  <conditionalFormatting sqref="O28:Q28 AC28:AE28">
    <cfRule type="cellIs" dxfId="423" priority="469" stopIfTrue="1" operator="greaterThan">
      <formula>L28+(L28*0.1)</formula>
    </cfRule>
    <cfRule type="cellIs" dxfId="422" priority="470" stopIfTrue="1" operator="lessThan">
      <formula>L28-(L28*0.1)</formula>
    </cfRule>
  </conditionalFormatting>
  <conditionalFormatting sqref="I26 K26 S26 W26 Y26 AG26">
    <cfRule type="cellIs" dxfId="421" priority="467" stopIfTrue="1" operator="greaterThan">
      <formula>H26+(H26*0.1)</formula>
    </cfRule>
    <cfRule type="cellIs" dxfId="420" priority="468" stopIfTrue="1" operator="lessThan">
      <formula>H26-(H26*0.1)</formula>
    </cfRule>
  </conditionalFormatting>
  <conditionalFormatting sqref="O26:Q26 AC26:AE26">
    <cfRule type="cellIs" dxfId="419" priority="465" stopIfTrue="1" operator="greaterThan">
      <formula>L26+(L26*0.1)</formula>
    </cfRule>
    <cfRule type="cellIs" dxfId="418" priority="466" stopIfTrue="1" operator="lessThan">
      <formula>L26-(L26*0.1)</formula>
    </cfRule>
  </conditionalFormatting>
  <conditionalFormatting sqref="I29:I30 S29:S30 W29:W30 Y29:Y30 AG29:AG30 K29:K30">
    <cfRule type="cellIs" dxfId="417" priority="463" stopIfTrue="1" operator="greaterThan">
      <formula>H29+(H29*0.1)</formula>
    </cfRule>
    <cfRule type="cellIs" dxfId="416" priority="464" stopIfTrue="1" operator="lessThan">
      <formula>H29-(H29*0.1)</formula>
    </cfRule>
  </conditionalFormatting>
  <conditionalFormatting sqref="O29:Q30 AC29:AE30">
    <cfRule type="cellIs" dxfId="415" priority="461" stopIfTrue="1" operator="greaterThan">
      <formula>L29+(L29*0.1)</formula>
    </cfRule>
    <cfRule type="cellIs" dxfId="414" priority="462" stopIfTrue="1" operator="lessThan">
      <formula>L29-(L29*0.1)</formula>
    </cfRule>
  </conditionalFormatting>
  <conditionalFormatting sqref="I29 K29 S29 W29 Y29 AG29">
    <cfRule type="cellIs" dxfId="413" priority="459" stopIfTrue="1" operator="greaterThan">
      <formula>H29+(H29*0.1)</formula>
    </cfRule>
    <cfRule type="cellIs" dxfId="412" priority="460" stopIfTrue="1" operator="lessThan">
      <formula>H29-(H29*0.1)</formula>
    </cfRule>
  </conditionalFormatting>
  <conditionalFormatting sqref="O29:Q29 AC29:AE29">
    <cfRule type="cellIs" dxfId="411" priority="457" stopIfTrue="1" operator="greaterThan">
      <formula>L29+(L29*0.1)</formula>
    </cfRule>
    <cfRule type="cellIs" dxfId="410" priority="458" stopIfTrue="1" operator="lessThan">
      <formula>L29-(L29*0.1)</formula>
    </cfRule>
  </conditionalFormatting>
  <conditionalFormatting sqref="I30 K30 S30 W30 Y30 AG30">
    <cfRule type="cellIs" dxfId="409" priority="455" stopIfTrue="1" operator="greaterThan">
      <formula>H30+(H30*0.1)</formula>
    </cfRule>
    <cfRule type="cellIs" dxfId="408" priority="456" stopIfTrue="1" operator="lessThan">
      <formula>H30-(H30*0.1)</formula>
    </cfRule>
  </conditionalFormatting>
  <conditionalFormatting sqref="O30:Q30 AC30:AE30">
    <cfRule type="cellIs" dxfId="407" priority="453" stopIfTrue="1" operator="greaterThan">
      <formula>L30+(L30*0.1)</formula>
    </cfRule>
    <cfRule type="cellIs" dxfId="406" priority="454" stopIfTrue="1" operator="lessThan">
      <formula>L30-(L30*0.1)</formula>
    </cfRule>
  </conditionalFormatting>
  <conditionalFormatting sqref="I30 K30 S30 W30 Y30 AG30">
    <cfRule type="cellIs" dxfId="405" priority="451" stopIfTrue="1" operator="greaterThan">
      <formula>H30+(H30*0.1)</formula>
    </cfRule>
    <cfRule type="cellIs" dxfId="404" priority="452" stopIfTrue="1" operator="lessThan">
      <formula>H30-(H30*0.1)</formula>
    </cfRule>
  </conditionalFormatting>
  <conditionalFormatting sqref="O30:Q30 AC30:AE30">
    <cfRule type="cellIs" dxfId="403" priority="449" stopIfTrue="1" operator="greaterThan">
      <formula>L30+(L30*0.1)</formula>
    </cfRule>
    <cfRule type="cellIs" dxfId="402" priority="450" stopIfTrue="1" operator="lessThan">
      <formula>L30-(L30*0.1)</formula>
    </cfRule>
  </conditionalFormatting>
  <conditionalFormatting sqref="I29 K29 S29 W29 Y29 AG29">
    <cfRule type="cellIs" dxfId="401" priority="447" stopIfTrue="1" operator="greaterThan">
      <formula>H29+(H29*0.1)</formula>
    </cfRule>
    <cfRule type="cellIs" dxfId="400" priority="448" stopIfTrue="1" operator="lessThan">
      <formula>H29-(H29*0.1)</formula>
    </cfRule>
  </conditionalFormatting>
  <conditionalFormatting sqref="O29:Q29 AC29:AE29">
    <cfRule type="cellIs" dxfId="399" priority="445" stopIfTrue="1" operator="greaterThan">
      <formula>L29+(L29*0.1)</formula>
    </cfRule>
    <cfRule type="cellIs" dxfId="398" priority="446" stopIfTrue="1" operator="lessThan">
      <formula>L29-(L29*0.1)</formula>
    </cfRule>
  </conditionalFormatting>
  <conditionalFormatting sqref="I35 S35 W35 Y35 AG35 K35">
    <cfRule type="cellIs" dxfId="397" priority="443" stopIfTrue="1" operator="greaterThan">
      <formula>H35+(H35*0.1)</formula>
    </cfRule>
    <cfRule type="cellIs" dxfId="396" priority="444" stopIfTrue="1" operator="lessThan">
      <formula>H35-(H35*0.1)</formula>
    </cfRule>
  </conditionalFormatting>
  <conditionalFormatting sqref="O35:Q35 AC35:AE35">
    <cfRule type="cellIs" dxfId="395" priority="441" stopIfTrue="1" operator="greaterThan">
      <formula>L35+(L35*0.1)</formula>
    </cfRule>
    <cfRule type="cellIs" dxfId="394" priority="442" stopIfTrue="1" operator="lessThan">
      <formula>L35-(L35*0.1)</formula>
    </cfRule>
  </conditionalFormatting>
  <conditionalFormatting sqref="I35 K35 S35 W35 Y35 AG35">
    <cfRule type="cellIs" dxfId="393" priority="439" stopIfTrue="1" operator="greaterThan">
      <formula>H35+(H35*0.1)</formula>
    </cfRule>
    <cfRule type="cellIs" dxfId="392" priority="440" stopIfTrue="1" operator="lessThan">
      <formula>H35-(H35*0.1)</formula>
    </cfRule>
  </conditionalFormatting>
  <conditionalFormatting sqref="O35:Q35 AC35:AE35">
    <cfRule type="cellIs" dxfId="391" priority="437" stopIfTrue="1" operator="greaterThan">
      <formula>L35+(L35*0.1)</formula>
    </cfRule>
    <cfRule type="cellIs" dxfId="390" priority="438" stopIfTrue="1" operator="lessThan">
      <formula>L35-(L35*0.1)</formula>
    </cfRule>
  </conditionalFormatting>
  <conditionalFormatting sqref="I30 K30 S30 W30 Y30 AG30">
    <cfRule type="cellIs" dxfId="389" priority="435" stopIfTrue="1" operator="greaterThan">
      <formula>H30+(H30*0.1)</formula>
    </cfRule>
    <cfRule type="cellIs" dxfId="388" priority="436" stopIfTrue="1" operator="lessThan">
      <formula>H30-(H30*0.1)</formula>
    </cfRule>
  </conditionalFormatting>
  <conditionalFormatting sqref="O30:Q30 AC30:AE30">
    <cfRule type="cellIs" dxfId="387" priority="433" stopIfTrue="1" operator="greaterThan">
      <formula>L30+(L30*0.1)</formula>
    </cfRule>
    <cfRule type="cellIs" dxfId="386" priority="434" stopIfTrue="1" operator="lessThan">
      <formula>L30-(L30*0.1)</formula>
    </cfRule>
  </conditionalFormatting>
  <conditionalFormatting sqref="I16 K16 S16 W16 Y16 AG16">
    <cfRule type="cellIs" dxfId="385" priority="431" stopIfTrue="1" operator="greaterThan">
      <formula>H16+(H16*0.1)</formula>
    </cfRule>
    <cfRule type="cellIs" dxfId="384" priority="432" stopIfTrue="1" operator="lessThan">
      <formula>H16-(H16*0.1)</formula>
    </cfRule>
  </conditionalFormatting>
  <conditionalFormatting sqref="O16:Q16 AC16:AE16">
    <cfRule type="cellIs" dxfId="383" priority="429" stopIfTrue="1" operator="greaterThan">
      <formula>L16+(L16*0.1)</formula>
    </cfRule>
    <cfRule type="cellIs" dxfId="382" priority="430" stopIfTrue="1" operator="lessThan">
      <formula>L16-(L16*0.1)</formula>
    </cfRule>
  </conditionalFormatting>
  <conditionalFormatting sqref="I15 K15 S15 W15 Y15 AG15">
    <cfRule type="cellIs" dxfId="381" priority="427" stopIfTrue="1" operator="greaterThan">
      <formula>H15+(H15*0.1)</formula>
    </cfRule>
    <cfRule type="cellIs" dxfId="380" priority="428" stopIfTrue="1" operator="lessThan">
      <formula>H15-(H15*0.1)</formula>
    </cfRule>
  </conditionalFormatting>
  <conditionalFormatting sqref="O15:Q15 AC15:AE15">
    <cfRule type="cellIs" dxfId="379" priority="425" stopIfTrue="1" operator="greaterThan">
      <formula>L15+(L15*0.1)</formula>
    </cfRule>
    <cfRule type="cellIs" dxfId="378" priority="426" stopIfTrue="1" operator="lessThan">
      <formula>L15-(L15*0.1)</formula>
    </cfRule>
  </conditionalFormatting>
  <conditionalFormatting sqref="K44 S44 W44 Y44 I44 AG44">
    <cfRule type="cellIs" dxfId="377" priority="405" stopIfTrue="1" operator="greaterThan">
      <formula>H44+(H44*0.1)</formula>
    </cfRule>
    <cfRule type="cellIs" dxfId="376" priority="406" stopIfTrue="1" operator="lessThan">
      <formula>H44-(H44*0.1)</formula>
    </cfRule>
  </conditionalFormatting>
  <conditionalFormatting sqref="AC44:AE44 O44:Q44">
    <cfRule type="cellIs" dxfId="375" priority="403" stopIfTrue="1" operator="greaterThan">
      <formula>L44+(L44*0.1)</formula>
    </cfRule>
    <cfRule type="cellIs" dxfId="374" priority="404" stopIfTrue="1" operator="lessThan">
      <formula>L44-(L44*0.1)</formula>
    </cfRule>
  </conditionalFormatting>
  <conditionalFormatting sqref="S44 W44 Y44 AG44 K44 I44">
    <cfRule type="cellIs" dxfId="373" priority="401" stopIfTrue="1" operator="greaterThan">
      <formula>H44+(H44*0.1)</formula>
    </cfRule>
    <cfRule type="cellIs" dxfId="372" priority="402" stopIfTrue="1" operator="lessThan">
      <formula>H44-(H44*0.1)</formula>
    </cfRule>
  </conditionalFormatting>
  <conditionalFormatting sqref="AC44:AE44 O44:Q44">
    <cfRule type="cellIs" dxfId="371" priority="399" stopIfTrue="1" operator="greaterThan">
      <formula>L44+(L44*0.1)</formula>
    </cfRule>
    <cfRule type="cellIs" dxfId="370" priority="400" stopIfTrue="1" operator="lessThan">
      <formula>L44-(L44*0.1)</formula>
    </cfRule>
  </conditionalFormatting>
  <conditionalFormatting sqref="K44 S44 W44 Y44 AG44 I44">
    <cfRule type="cellIs" dxfId="369" priority="397" stopIfTrue="1" operator="greaterThan">
      <formula>H44+(H44*0.1)</formula>
    </cfRule>
    <cfRule type="cellIs" dxfId="368" priority="398" stopIfTrue="1" operator="lessThan">
      <formula>H44-(H44*0.1)</formula>
    </cfRule>
  </conditionalFormatting>
  <conditionalFormatting sqref="AC44:AE44 O44:Q44">
    <cfRule type="cellIs" dxfId="367" priority="395" stopIfTrue="1" operator="greaterThan">
      <formula>L44+(L44*0.1)</formula>
    </cfRule>
    <cfRule type="cellIs" dxfId="366" priority="396" stopIfTrue="1" operator="lessThan">
      <formula>L44-(L44*0.1)</formula>
    </cfRule>
  </conditionalFormatting>
  <conditionalFormatting sqref="I30">
    <cfRule type="cellIs" dxfId="365" priority="393" stopIfTrue="1" operator="greaterThan">
      <formula>H30+(H30*0.1)</formula>
    </cfRule>
    <cfRule type="cellIs" dxfId="364" priority="394" stopIfTrue="1" operator="lessThan">
      <formula>H30-(H30*0.1)</formula>
    </cfRule>
  </conditionalFormatting>
  <conditionalFormatting sqref="I30">
    <cfRule type="cellIs" dxfId="363" priority="391" stopIfTrue="1" operator="greaterThan">
      <formula>H30+(H30*0.1)</formula>
    </cfRule>
    <cfRule type="cellIs" dxfId="362" priority="392" stopIfTrue="1" operator="lessThan">
      <formula>H30-(H30*0.1)</formula>
    </cfRule>
  </conditionalFormatting>
  <conditionalFormatting sqref="I30">
    <cfRule type="cellIs" dxfId="361" priority="389" stopIfTrue="1" operator="greaterThan">
      <formula>H30+(H30*0.1)</formula>
    </cfRule>
    <cfRule type="cellIs" dxfId="360" priority="390" stopIfTrue="1" operator="lessThan">
      <formula>H30-(H30*0.1)</formula>
    </cfRule>
  </conditionalFormatting>
  <conditionalFormatting sqref="I30">
    <cfRule type="cellIs" dxfId="359" priority="387" stopIfTrue="1" operator="greaterThan">
      <formula>H30+(H30*0.1)</formula>
    </cfRule>
    <cfRule type="cellIs" dxfId="358" priority="388" stopIfTrue="1" operator="lessThan">
      <formula>H30-(H30*0.1)</formula>
    </cfRule>
  </conditionalFormatting>
  <conditionalFormatting sqref="I30">
    <cfRule type="cellIs" dxfId="357" priority="385" stopIfTrue="1" operator="greaterThan">
      <formula>H30+(H30*0.1)</formula>
    </cfRule>
    <cfRule type="cellIs" dxfId="356" priority="386" stopIfTrue="1" operator="lessThan">
      <formula>H30-(H30*0.1)</formula>
    </cfRule>
  </conditionalFormatting>
  <conditionalFormatting sqref="I30">
    <cfRule type="cellIs" dxfId="355" priority="383" stopIfTrue="1" operator="greaterThan">
      <formula>H30+(H30*0.1)</formula>
    </cfRule>
    <cfRule type="cellIs" dxfId="354" priority="384" stopIfTrue="1" operator="lessThan">
      <formula>H30-(H30*0.1)</formula>
    </cfRule>
  </conditionalFormatting>
  <conditionalFormatting sqref="I30">
    <cfRule type="cellIs" dxfId="353" priority="381" stopIfTrue="1" operator="greaterThan">
      <formula>H30+(H30*0.1)</formula>
    </cfRule>
    <cfRule type="cellIs" dxfId="352" priority="382" stopIfTrue="1" operator="lessThan">
      <formula>H30-(H30*0.1)</formula>
    </cfRule>
  </conditionalFormatting>
  <conditionalFormatting sqref="I30">
    <cfRule type="cellIs" dxfId="351" priority="379" stopIfTrue="1" operator="greaterThan">
      <formula>H30+(H30*0.1)</formula>
    </cfRule>
    <cfRule type="cellIs" dxfId="350" priority="380" stopIfTrue="1" operator="lessThan">
      <formula>H30-(H30*0.1)</formula>
    </cfRule>
  </conditionalFormatting>
  <conditionalFormatting sqref="I32">
    <cfRule type="cellIs" dxfId="349" priority="377" stopIfTrue="1" operator="greaterThan">
      <formula>H32+(H32*0.1)</formula>
    </cfRule>
    <cfRule type="cellIs" dxfId="348" priority="378" stopIfTrue="1" operator="lessThan">
      <formula>H32-(H32*0.1)</formula>
    </cfRule>
  </conditionalFormatting>
  <conditionalFormatting sqref="I32">
    <cfRule type="cellIs" dxfId="347" priority="375" stopIfTrue="1" operator="greaterThan">
      <formula>H32+(H32*0.1)</formula>
    </cfRule>
    <cfRule type="cellIs" dxfId="346" priority="376" stopIfTrue="1" operator="lessThan">
      <formula>H32-(H32*0.1)</formula>
    </cfRule>
  </conditionalFormatting>
  <conditionalFormatting sqref="I32">
    <cfRule type="cellIs" dxfId="345" priority="373" stopIfTrue="1" operator="greaterThan">
      <formula>H32+(H32*0.1)</formula>
    </cfRule>
    <cfRule type="cellIs" dxfId="344" priority="374" stopIfTrue="1" operator="lessThan">
      <formula>H32-(H32*0.1)</formula>
    </cfRule>
  </conditionalFormatting>
  <conditionalFormatting sqref="I32">
    <cfRule type="cellIs" dxfId="343" priority="371" stopIfTrue="1" operator="greaterThan">
      <formula>H32+(H32*0.1)</formula>
    </cfRule>
    <cfRule type="cellIs" dxfId="342" priority="372" stopIfTrue="1" operator="lessThan">
      <formula>H32-(H32*0.1)</formula>
    </cfRule>
  </conditionalFormatting>
  <conditionalFormatting sqref="I32">
    <cfRule type="cellIs" dxfId="341" priority="369" stopIfTrue="1" operator="greaterThan">
      <formula>H32+(H32*0.1)</formula>
    </cfRule>
    <cfRule type="cellIs" dxfId="340" priority="370" stopIfTrue="1" operator="lessThan">
      <formula>H32-(H32*0.1)</formula>
    </cfRule>
  </conditionalFormatting>
  <conditionalFormatting sqref="I35">
    <cfRule type="cellIs" dxfId="339" priority="367" stopIfTrue="1" operator="greaterThan">
      <formula>H35+(H35*0.1)</formula>
    </cfRule>
    <cfRule type="cellIs" dxfId="338" priority="368" stopIfTrue="1" operator="lessThan">
      <formula>H35-(H35*0.1)</formula>
    </cfRule>
  </conditionalFormatting>
  <conditionalFormatting sqref="I35">
    <cfRule type="cellIs" dxfId="337" priority="365" stopIfTrue="1" operator="greaterThan">
      <formula>H35+(H35*0.1)</formula>
    </cfRule>
    <cfRule type="cellIs" dxfId="336" priority="366" stopIfTrue="1" operator="lessThan">
      <formula>H35-(H35*0.1)</formula>
    </cfRule>
  </conditionalFormatting>
  <conditionalFormatting sqref="I35">
    <cfRule type="cellIs" dxfId="335" priority="363" stopIfTrue="1" operator="greaterThan">
      <formula>H35+(H35*0.1)</formula>
    </cfRule>
    <cfRule type="cellIs" dxfId="334" priority="364" stopIfTrue="1" operator="lessThan">
      <formula>H35-(H35*0.1)</formula>
    </cfRule>
  </conditionalFormatting>
  <conditionalFormatting sqref="I35">
    <cfRule type="cellIs" dxfId="333" priority="361" stopIfTrue="1" operator="greaterThan">
      <formula>H35+(H35*0.1)</formula>
    </cfRule>
    <cfRule type="cellIs" dxfId="332" priority="362" stopIfTrue="1" operator="lessThan">
      <formula>H35-(H35*0.1)</formula>
    </cfRule>
  </conditionalFormatting>
  <conditionalFormatting sqref="I35">
    <cfRule type="cellIs" dxfId="331" priority="359" stopIfTrue="1" operator="greaterThan">
      <formula>H35+(H35*0.1)</formula>
    </cfRule>
    <cfRule type="cellIs" dxfId="330" priority="360" stopIfTrue="1" operator="lessThan">
      <formula>H35-(H35*0.1)</formula>
    </cfRule>
  </conditionalFormatting>
  <conditionalFormatting sqref="O30">
    <cfRule type="cellIs" dxfId="329" priority="357" stopIfTrue="1" operator="greaterThan">
      <formula>L30+(L30*0.1)</formula>
    </cfRule>
    <cfRule type="cellIs" dxfId="328" priority="358" stopIfTrue="1" operator="lessThan">
      <formula>L30-(L30*0.1)</formula>
    </cfRule>
  </conditionalFormatting>
  <conditionalFormatting sqref="O30">
    <cfRule type="cellIs" dxfId="327" priority="355" stopIfTrue="1" operator="greaterThan">
      <formula>L30+(L30*0.1)</formula>
    </cfRule>
    <cfRule type="cellIs" dxfId="326" priority="356" stopIfTrue="1" operator="lessThan">
      <formula>L30-(L30*0.1)</formula>
    </cfRule>
  </conditionalFormatting>
  <conditionalFormatting sqref="O30">
    <cfRule type="cellIs" dxfId="325" priority="353" stopIfTrue="1" operator="greaterThan">
      <formula>L30+(L30*0.1)</formula>
    </cfRule>
    <cfRule type="cellIs" dxfId="324" priority="354" stopIfTrue="1" operator="lessThan">
      <formula>L30-(L30*0.1)</formula>
    </cfRule>
  </conditionalFormatting>
  <conditionalFormatting sqref="O30">
    <cfRule type="cellIs" dxfId="323" priority="351" stopIfTrue="1" operator="greaterThan">
      <formula>L30+(L30*0.1)</formula>
    </cfRule>
    <cfRule type="cellIs" dxfId="322" priority="352" stopIfTrue="1" operator="lessThan">
      <formula>L30-(L30*0.1)</formula>
    </cfRule>
  </conditionalFormatting>
  <conditionalFormatting sqref="O30">
    <cfRule type="cellIs" dxfId="321" priority="349" stopIfTrue="1" operator="greaterThan">
      <formula>L30+(L30*0.1)</formula>
    </cfRule>
    <cfRule type="cellIs" dxfId="320" priority="350" stopIfTrue="1" operator="lessThan">
      <formula>L30-(L30*0.1)</formula>
    </cfRule>
  </conditionalFormatting>
  <conditionalFormatting sqref="O30">
    <cfRule type="cellIs" dxfId="319" priority="347" stopIfTrue="1" operator="greaterThan">
      <formula>L30+(L30*0.1)</formula>
    </cfRule>
    <cfRule type="cellIs" dxfId="318" priority="348" stopIfTrue="1" operator="lessThan">
      <formula>L30-(L30*0.1)</formula>
    </cfRule>
  </conditionalFormatting>
  <conditionalFormatting sqref="O30">
    <cfRule type="cellIs" dxfId="317" priority="345" stopIfTrue="1" operator="greaterThan">
      <formula>L30+(L30*0.1)</formula>
    </cfRule>
    <cfRule type="cellIs" dxfId="316" priority="346" stopIfTrue="1" operator="lessThan">
      <formula>L30-(L30*0.1)</formula>
    </cfRule>
  </conditionalFormatting>
  <conditionalFormatting sqref="O30">
    <cfRule type="cellIs" dxfId="315" priority="343" stopIfTrue="1" operator="greaterThan">
      <formula>L30+(L30*0.1)</formula>
    </cfRule>
    <cfRule type="cellIs" dxfId="314" priority="344" stopIfTrue="1" operator="lessThan">
      <formula>L30-(L30*0.1)</formula>
    </cfRule>
  </conditionalFormatting>
  <conditionalFormatting sqref="O32">
    <cfRule type="cellIs" dxfId="313" priority="341" stopIfTrue="1" operator="greaterThan">
      <formula>L32+(L32*0.1)</formula>
    </cfRule>
    <cfRule type="cellIs" dxfId="312" priority="342" stopIfTrue="1" operator="lessThan">
      <formula>L32-(L32*0.1)</formula>
    </cfRule>
  </conditionalFormatting>
  <conditionalFormatting sqref="O32">
    <cfRule type="cellIs" dxfId="311" priority="339" stopIfTrue="1" operator="greaterThan">
      <formula>L32+(L32*0.1)</formula>
    </cfRule>
    <cfRule type="cellIs" dxfId="310" priority="340" stopIfTrue="1" operator="lessThan">
      <formula>L32-(L32*0.1)</formula>
    </cfRule>
  </conditionalFormatting>
  <conditionalFormatting sqref="O32">
    <cfRule type="cellIs" dxfId="309" priority="337" stopIfTrue="1" operator="greaterThan">
      <formula>L32+(L32*0.1)</formula>
    </cfRule>
    <cfRule type="cellIs" dxfId="308" priority="338" stopIfTrue="1" operator="lessThan">
      <formula>L32-(L32*0.1)</formula>
    </cfRule>
  </conditionalFormatting>
  <conditionalFormatting sqref="O32">
    <cfRule type="cellIs" dxfId="307" priority="335" stopIfTrue="1" operator="greaterThan">
      <formula>L32+(L32*0.1)</formula>
    </cfRule>
    <cfRule type="cellIs" dxfId="306" priority="336" stopIfTrue="1" operator="lessThan">
      <formula>L32-(L32*0.1)</formula>
    </cfRule>
  </conditionalFormatting>
  <conditionalFormatting sqref="O32">
    <cfRule type="cellIs" dxfId="305" priority="333" stopIfTrue="1" operator="greaterThan">
      <formula>L32+(L32*0.1)</formula>
    </cfRule>
    <cfRule type="cellIs" dxfId="304" priority="334" stopIfTrue="1" operator="lessThan">
      <formula>L32-(L32*0.1)</formula>
    </cfRule>
  </conditionalFormatting>
  <conditionalFormatting sqref="P22">
    <cfRule type="cellIs" dxfId="303" priority="331" stopIfTrue="1" operator="greaterThan">
      <formula>M22+(M22*0.1)</formula>
    </cfRule>
    <cfRule type="cellIs" dxfId="302" priority="332" stopIfTrue="1" operator="lessThan">
      <formula>M22-(M22*0.1)</formula>
    </cfRule>
  </conditionalFormatting>
  <conditionalFormatting sqref="P22">
    <cfRule type="cellIs" dxfId="301" priority="329" stopIfTrue="1" operator="greaterThan">
      <formula>M22+(M22*0.1)</formula>
    </cfRule>
    <cfRule type="cellIs" dxfId="300" priority="330" stopIfTrue="1" operator="lessThan">
      <formula>M22-(M22*0.1)</formula>
    </cfRule>
  </conditionalFormatting>
  <conditionalFormatting sqref="P22">
    <cfRule type="cellIs" dxfId="299" priority="327" stopIfTrue="1" operator="greaterThan">
      <formula>M22+(M22*0.1)</formula>
    </cfRule>
    <cfRule type="cellIs" dxfId="298" priority="328" stopIfTrue="1" operator="lessThan">
      <formula>M22-(M22*0.1)</formula>
    </cfRule>
  </conditionalFormatting>
  <conditionalFormatting sqref="P22">
    <cfRule type="cellIs" dxfId="297" priority="325" stopIfTrue="1" operator="greaterThan">
      <formula>M22+(M22*0.1)</formula>
    </cfRule>
    <cfRule type="cellIs" dxfId="296" priority="326" stopIfTrue="1" operator="lessThan">
      <formula>M22-(M22*0.1)</formula>
    </cfRule>
  </conditionalFormatting>
  <conditionalFormatting sqref="Q30">
    <cfRule type="cellIs" dxfId="295" priority="323" stopIfTrue="1" operator="greaterThan">
      <formula>N30+(N30*0.1)</formula>
    </cfRule>
    <cfRule type="cellIs" dxfId="294" priority="324" stopIfTrue="1" operator="lessThan">
      <formula>N30-(N30*0.1)</formula>
    </cfRule>
  </conditionalFormatting>
  <conditionalFormatting sqref="Q30">
    <cfRule type="cellIs" dxfId="293" priority="321" stopIfTrue="1" operator="greaterThan">
      <formula>N30+(N30*0.1)</formula>
    </cfRule>
    <cfRule type="cellIs" dxfId="292" priority="322" stopIfTrue="1" operator="lessThan">
      <formula>N30-(N30*0.1)</formula>
    </cfRule>
  </conditionalFormatting>
  <conditionalFormatting sqref="Q30">
    <cfRule type="cellIs" dxfId="291" priority="319" stopIfTrue="1" operator="greaterThan">
      <formula>N30+(N30*0.1)</formula>
    </cfRule>
    <cfRule type="cellIs" dxfId="290" priority="320" stopIfTrue="1" operator="lessThan">
      <formula>N30-(N30*0.1)</formula>
    </cfRule>
  </conditionalFormatting>
  <conditionalFormatting sqref="Q30">
    <cfRule type="cellIs" dxfId="289" priority="317" stopIfTrue="1" operator="greaterThan">
      <formula>N30+(N30*0.1)</formula>
    </cfRule>
    <cfRule type="cellIs" dxfId="288" priority="318" stopIfTrue="1" operator="lessThan">
      <formula>N30-(N30*0.1)</formula>
    </cfRule>
  </conditionalFormatting>
  <conditionalFormatting sqref="Q30">
    <cfRule type="cellIs" dxfId="287" priority="315" stopIfTrue="1" operator="greaterThan">
      <formula>N30+(N30*0.1)</formula>
    </cfRule>
    <cfRule type="cellIs" dxfId="286" priority="316" stopIfTrue="1" operator="lessThan">
      <formula>N30-(N30*0.1)</formula>
    </cfRule>
  </conditionalFormatting>
  <conditionalFormatting sqref="Q30">
    <cfRule type="cellIs" dxfId="285" priority="313" stopIfTrue="1" operator="greaterThan">
      <formula>N30+(N30*0.1)</formula>
    </cfRule>
    <cfRule type="cellIs" dxfId="284" priority="314" stopIfTrue="1" operator="lessThan">
      <formula>N30-(N30*0.1)</formula>
    </cfRule>
  </conditionalFormatting>
  <conditionalFormatting sqref="Q30">
    <cfRule type="cellIs" dxfId="283" priority="311" stopIfTrue="1" operator="greaterThan">
      <formula>N30+(N30*0.1)</formula>
    </cfRule>
    <cfRule type="cellIs" dxfId="282" priority="312" stopIfTrue="1" operator="lessThan">
      <formula>N30-(N30*0.1)</formula>
    </cfRule>
  </conditionalFormatting>
  <conditionalFormatting sqref="Q30">
    <cfRule type="cellIs" dxfId="281" priority="309" stopIfTrue="1" operator="greaterThan">
      <formula>N30+(N30*0.1)</formula>
    </cfRule>
    <cfRule type="cellIs" dxfId="280" priority="310" stopIfTrue="1" operator="lessThan">
      <formula>N30-(N30*0.1)</formula>
    </cfRule>
  </conditionalFormatting>
  <conditionalFormatting sqref="S30">
    <cfRule type="cellIs" dxfId="279" priority="307" stopIfTrue="1" operator="greaterThan">
      <formula>R30+(R30*0.1)</formula>
    </cfRule>
    <cfRule type="cellIs" dxfId="278" priority="308" stopIfTrue="1" operator="lessThan">
      <formula>R30-(R30*0.1)</formula>
    </cfRule>
  </conditionalFormatting>
  <conditionalFormatting sqref="S30">
    <cfRule type="cellIs" dxfId="277" priority="305" stopIfTrue="1" operator="greaterThan">
      <formula>R30+(R30*0.1)</formula>
    </cfRule>
    <cfRule type="cellIs" dxfId="276" priority="306" stopIfTrue="1" operator="lessThan">
      <formula>R30-(R30*0.1)</formula>
    </cfRule>
  </conditionalFormatting>
  <conditionalFormatting sqref="S30">
    <cfRule type="cellIs" dxfId="275" priority="303" stopIfTrue="1" operator="greaterThan">
      <formula>R30+(R30*0.1)</formula>
    </cfRule>
    <cfRule type="cellIs" dxfId="274" priority="304" stopIfTrue="1" operator="lessThan">
      <formula>R30-(R30*0.1)</formula>
    </cfRule>
  </conditionalFormatting>
  <conditionalFormatting sqref="S30">
    <cfRule type="cellIs" dxfId="273" priority="301" stopIfTrue="1" operator="greaterThan">
      <formula>R30+(R30*0.1)</formula>
    </cfRule>
    <cfRule type="cellIs" dxfId="272" priority="302" stopIfTrue="1" operator="lessThan">
      <formula>R30-(R30*0.1)</formula>
    </cfRule>
  </conditionalFormatting>
  <conditionalFormatting sqref="S30">
    <cfRule type="cellIs" dxfId="271" priority="299" stopIfTrue="1" operator="greaterThan">
      <formula>R30+(R30*0.1)</formula>
    </cfRule>
    <cfRule type="cellIs" dxfId="270" priority="300" stopIfTrue="1" operator="lessThan">
      <formula>R30-(R30*0.1)</formula>
    </cfRule>
  </conditionalFormatting>
  <conditionalFormatting sqref="S30">
    <cfRule type="cellIs" dxfId="269" priority="297" stopIfTrue="1" operator="greaterThan">
      <formula>R30+(R30*0.1)</formula>
    </cfRule>
    <cfRule type="cellIs" dxfId="268" priority="298" stopIfTrue="1" operator="lessThan">
      <formula>R30-(R30*0.1)</formula>
    </cfRule>
  </conditionalFormatting>
  <conditionalFormatting sqref="S30">
    <cfRule type="cellIs" dxfId="267" priority="295" stopIfTrue="1" operator="greaterThan">
      <formula>R30+(R30*0.1)</formula>
    </cfRule>
    <cfRule type="cellIs" dxfId="266" priority="296" stopIfTrue="1" operator="lessThan">
      <formula>R30-(R30*0.1)</formula>
    </cfRule>
  </conditionalFormatting>
  <conditionalFormatting sqref="S30">
    <cfRule type="cellIs" dxfId="265" priority="293" stopIfTrue="1" operator="greaterThan">
      <formula>R30+(R30*0.1)</formula>
    </cfRule>
    <cfRule type="cellIs" dxfId="264" priority="294" stopIfTrue="1" operator="lessThan">
      <formula>R30-(R30*0.1)</formula>
    </cfRule>
  </conditionalFormatting>
  <conditionalFormatting sqref="W18">
    <cfRule type="cellIs" dxfId="263" priority="291" stopIfTrue="1" operator="greaterThan">
      <formula>V18+(V18*0.1)</formula>
    </cfRule>
    <cfRule type="cellIs" dxfId="262" priority="292" stopIfTrue="1" operator="lessThan">
      <formula>V18-(V18*0.1)</formula>
    </cfRule>
  </conditionalFormatting>
  <conditionalFormatting sqref="W18">
    <cfRule type="cellIs" dxfId="261" priority="289" stopIfTrue="1" operator="greaterThan">
      <formula>V18+(V18*0.1)</formula>
    </cfRule>
    <cfRule type="cellIs" dxfId="260" priority="290" stopIfTrue="1" operator="lessThan">
      <formula>V18-(V18*0.1)</formula>
    </cfRule>
  </conditionalFormatting>
  <conditionalFormatting sqref="W18">
    <cfRule type="cellIs" dxfId="259" priority="287" stopIfTrue="1" operator="greaterThan">
      <formula>V18+(V18*0.1)</formula>
    </cfRule>
    <cfRule type="cellIs" dxfId="258" priority="288" stopIfTrue="1" operator="lessThan">
      <formula>V18-(V18*0.1)</formula>
    </cfRule>
  </conditionalFormatting>
  <conditionalFormatting sqref="AG6:AG44 Y6:Y44 I6:I44 S6:S44 W6:W44 K8:K44 AG89:AG149 K89:K149 I89:I149 S89:S149 W89:W149 Y89:Y149 AG361:AG434 K361:K434 I361:I434 S361:S434 W361:W434 Y361:Y434">
    <cfRule type="expression" dxfId="257" priority="275">
      <formula>I6&gt;(H6+(H6*0.1))</formula>
    </cfRule>
    <cfRule type="expression" dxfId="256" priority="276">
      <formula>I6&lt;(H6-(H6*0.1))</formula>
    </cfRule>
  </conditionalFormatting>
  <conditionalFormatting sqref="AC6:AC44 O6:O44 AC89:AC149 O89:O149 AC361:AC434 O361:O434">
    <cfRule type="expression" dxfId="255" priority="273">
      <formula>O6&lt;(L6-(L6*0.1))</formula>
    </cfRule>
    <cfRule type="expression" dxfId="254" priority="274">
      <formula>O6&gt;(L6+(L6*0.1))</formula>
    </cfRule>
  </conditionalFormatting>
  <conditionalFormatting sqref="AD6:AE44 P6:Q44 AD89:AE149 P89:Q149 AD361:AE434 P361:Q434">
    <cfRule type="expression" dxfId="253" priority="271">
      <formula>P6&gt;(M6+(M6*0.1))</formula>
    </cfRule>
    <cfRule type="expression" dxfId="252" priority="272">
      <formula>P6&lt;(M6-(M6*0.1))</formula>
    </cfRule>
  </conditionalFormatting>
  <conditionalFormatting sqref="AC13">
    <cfRule type="expression" dxfId="251" priority="269">
      <formula>AC13&lt;(Z13-(Z13*0.1))</formula>
    </cfRule>
    <cfRule type="expression" dxfId="250" priority="270">
      <formula>AC13&gt;(Z13+(Z13*0.1))</formula>
    </cfRule>
  </conditionalFormatting>
  <conditionalFormatting sqref="W17">
    <cfRule type="expression" dxfId="249" priority="267">
      <formula>W17&gt;(V17+(V17*0.1))</formula>
    </cfRule>
    <cfRule type="expression" dxfId="248" priority="268">
      <formula>W17&lt;(V17-(V17*0.1))</formula>
    </cfRule>
  </conditionalFormatting>
  <conditionalFormatting sqref="K7">
    <cfRule type="expression" dxfId="247" priority="265">
      <formula>K7&gt;(J6+(J6*0.1))</formula>
    </cfRule>
    <cfRule type="expression" dxfId="246" priority="266">
      <formula>K7&lt;(J6-(J6*0.1))</formula>
    </cfRule>
  </conditionalFormatting>
  <conditionalFormatting sqref="O7">
    <cfRule type="expression" dxfId="245" priority="263">
      <formula>O7&lt;(L7-(L7*0.1))</formula>
    </cfRule>
    <cfRule type="expression" dxfId="244" priority="264">
      <formula>O7&gt;(L7+(L7*0.1))</formula>
    </cfRule>
  </conditionalFormatting>
  <conditionalFormatting sqref="P7:Q7">
    <cfRule type="expression" dxfId="243" priority="261">
      <formula>P7&gt;(M7+(M7*0.1))</formula>
    </cfRule>
    <cfRule type="expression" dxfId="242" priority="262">
      <formula>P7&lt;(M7-(M7*0.1))</formula>
    </cfRule>
  </conditionalFormatting>
  <conditionalFormatting sqref="W7">
    <cfRule type="expression" dxfId="241" priority="259">
      <formula>W7&gt;(V7+(V7*0.1))</formula>
    </cfRule>
    <cfRule type="expression" dxfId="240" priority="260">
      <formula>W7&lt;(V7-(V7*0.1))</formula>
    </cfRule>
  </conditionalFormatting>
  <conditionalFormatting sqref="Y7">
    <cfRule type="expression" dxfId="239" priority="257">
      <formula>Y7&gt;(X7+(X7*0.1))</formula>
    </cfRule>
    <cfRule type="expression" dxfId="238" priority="258">
      <formula>Y7&lt;(X7-(X7*0.1))</formula>
    </cfRule>
  </conditionalFormatting>
  <conditionalFormatting sqref="AC7">
    <cfRule type="expression" dxfId="237" priority="255">
      <formula>AC7&lt;(Z7-(Z7*0.1))</formula>
    </cfRule>
    <cfRule type="expression" dxfId="236" priority="256">
      <formula>AC7&gt;(Z7+(Z7*0.1))</formula>
    </cfRule>
  </conditionalFormatting>
  <conditionalFormatting sqref="AD7:AE7">
    <cfRule type="expression" dxfId="235" priority="253">
      <formula>AD7&gt;(AA7+(AA7*0.1))</formula>
    </cfRule>
    <cfRule type="expression" dxfId="234" priority="254">
      <formula>AD7&lt;(AA7-(AA7*0.1))</formula>
    </cfRule>
  </conditionalFormatting>
  <conditionalFormatting sqref="AG7">
    <cfRule type="expression" dxfId="233" priority="251">
      <formula>AG7&gt;(AF7+(AF7*0.1))</formula>
    </cfRule>
    <cfRule type="expression" dxfId="232" priority="252">
      <formula>AG7&lt;(AF7-(AF7*0.1))</formula>
    </cfRule>
  </conditionalFormatting>
  <conditionalFormatting sqref="I11">
    <cfRule type="expression" dxfId="231" priority="249">
      <formula>I11&gt;(H11+(H11*0.1))</formula>
    </cfRule>
    <cfRule type="expression" dxfId="230" priority="250">
      <formula>I11&lt;(H11-(H11*0.1))</formula>
    </cfRule>
  </conditionalFormatting>
  <conditionalFormatting sqref="K11">
    <cfRule type="expression" dxfId="229" priority="247">
      <formula>K11&gt;(J11+(J11*0.1))</formula>
    </cfRule>
    <cfRule type="expression" dxfId="228" priority="248">
      <formula>K11&lt;(J11-(J11*0.1))</formula>
    </cfRule>
  </conditionalFormatting>
  <conditionalFormatting sqref="O11">
    <cfRule type="expression" dxfId="227" priority="245">
      <formula>O11&lt;(L11-(L11*0.1))</formula>
    </cfRule>
    <cfRule type="expression" dxfId="226" priority="246">
      <formula>O11&gt;(L11+(L11*0.1))</formula>
    </cfRule>
  </conditionalFormatting>
  <conditionalFormatting sqref="P11:Q11">
    <cfRule type="expression" dxfId="225" priority="243">
      <formula>P11&gt;(M11+(M11*0.1))</formula>
    </cfRule>
    <cfRule type="expression" dxfId="224" priority="244">
      <formula>P11&lt;(M11-(M11*0.1))</formula>
    </cfRule>
  </conditionalFormatting>
  <conditionalFormatting sqref="W11">
    <cfRule type="expression" dxfId="223" priority="241">
      <formula>W11&gt;(V11+(V11*0.1))</formula>
    </cfRule>
    <cfRule type="expression" dxfId="222" priority="242">
      <formula>W11&lt;(V11-(V11*0.1))</formula>
    </cfRule>
  </conditionalFormatting>
  <conditionalFormatting sqref="Y11">
    <cfRule type="expression" dxfId="221" priority="239">
      <formula>Y11&gt;(X11+(X11*0.1))</formula>
    </cfRule>
    <cfRule type="expression" dxfId="220" priority="240">
      <formula>Y11&lt;(X11-(X11*0.1))</formula>
    </cfRule>
  </conditionalFormatting>
  <conditionalFormatting sqref="AC11">
    <cfRule type="expression" dxfId="219" priority="237">
      <formula>AC11&lt;(Z11-(Z11*0.1))</formula>
    </cfRule>
    <cfRule type="expression" dxfId="218" priority="238">
      <formula>AC11&gt;(Z11+(Z11*0.1))</formula>
    </cfRule>
  </conditionalFormatting>
  <conditionalFormatting sqref="AD11:AE11">
    <cfRule type="expression" dxfId="217" priority="235">
      <formula>AD11&gt;(AA11+(AA11*0.1))</formula>
    </cfRule>
    <cfRule type="expression" dxfId="216" priority="236">
      <formula>AD11&lt;(AA11-(AA11*0.1))</formula>
    </cfRule>
  </conditionalFormatting>
  <conditionalFormatting sqref="W15">
    <cfRule type="expression" dxfId="215" priority="233">
      <formula>W15&gt;(V15+(V15*0.1))</formula>
    </cfRule>
    <cfRule type="expression" dxfId="214" priority="234">
      <formula>W15&lt;(V15-(V15*0.1))</formula>
    </cfRule>
  </conditionalFormatting>
  <conditionalFormatting sqref="K15">
    <cfRule type="expression" dxfId="213" priority="231">
      <formula>K15&gt;(J15+(J15*0.1))</formula>
    </cfRule>
    <cfRule type="expression" dxfId="212" priority="232">
      <formula>K15&lt;(J15-(J15*0.1))</formula>
    </cfRule>
  </conditionalFormatting>
  <conditionalFormatting sqref="I15">
    <cfRule type="expression" dxfId="211" priority="229">
      <formula>I15&gt;(H15+(H15*0.1))</formula>
    </cfRule>
    <cfRule type="expression" dxfId="210" priority="230">
      <formula>I15&lt;(H15-(H15*0.1))</formula>
    </cfRule>
  </conditionalFormatting>
  <conditionalFormatting sqref="O15">
    <cfRule type="expression" dxfId="209" priority="227">
      <formula>O15&lt;(L15-(L15*0.1))</formula>
    </cfRule>
    <cfRule type="expression" dxfId="208" priority="228">
      <formula>O15&gt;(L15+(L15*0.1))</formula>
    </cfRule>
  </conditionalFormatting>
  <conditionalFormatting sqref="W15">
    <cfRule type="expression" dxfId="207" priority="225">
      <formula>W15&gt;(V15+(V15*0.1))</formula>
    </cfRule>
    <cfRule type="expression" dxfId="206" priority="226">
      <formula>W15&lt;(V15-(V15*0.1))</formula>
    </cfRule>
  </conditionalFormatting>
  <conditionalFormatting sqref="Y15">
    <cfRule type="expression" dxfId="205" priority="223">
      <formula>Y15&gt;(X15+(X15*0.1))</formula>
    </cfRule>
    <cfRule type="expression" dxfId="204" priority="224">
      <formula>Y15&lt;(X15-(X15*0.1))</formula>
    </cfRule>
  </conditionalFormatting>
  <conditionalFormatting sqref="AC15">
    <cfRule type="expression" dxfId="203" priority="221">
      <formula>AC15&lt;(Z15-(Z15*0.1))</formula>
    </cfRule>
    <cfRule type="expression" dxfId="202" priority="222">
      <formula>AC15&gt;(Z15+(Z15*0.1))</formula>
    </cfRule>
  </conditionalFormatting>
  <conditionalFormatting sqref="I6">
    <cfRule type="expression" dxfId="201" priority="219">
      <formula>I6&gt;(H6+(H6*0.1))</formula>
    </cfRule>
    <cfRule type="expression" dxfId="200" priority="220">
      <formula>I6&lt;(H6-(H6*0.1))</formula>
    </cfRule>
  </conditionalFormatting>
  <conditionalFormatting sqref="K6">
    <cfRule type="expression" dxfId="199" priority="217">
      <formula>K6&gt;(J6+(J6*0.1))</formula>
    </cfRule>
    <cfRule type="expression" dxfId="198" priority="218">
      <formula>K6&lt;(J6-(J6*0.1))</formula>
    </cfRule>
  </conditionalFormatting>
  <conditionalFormatting sqref="O6">
    <cfRule type="expression" dxfId="197" priority="215">
      <formula>O6&lt;(L6-(L6*0.1))</formula>
    </cfRule>
    <cfRule type="expression" dxfId="196" priority="216">
      <formula>O6&gt;(L6+(L6*0.1))</formula>
    </cfRule>
  </conditionalFormatting>
  <conditionalFormatting sqref="P6:Q6">
    <cfRule type="expression" dxfId="195" priority="213">
      <formula>P6&gt;(M6+(M6*0.1))</formula>
    </cfRule>
    <cfRule type="expression" dxfId="194" priority="214">
      <formula>P6&lt;(M6-(M6*0.1))</formula>
    </cfRule>
  </conditionalFormatting>
  <conditionalFormatting sqref="W6">
    <cfRule type="expression" dxfId="193" priority="211">
      <formula>W6&gt;(V6+(V6*0.1))</formula>
    </cfRule>
    <cfRule type="expression" dxfId="192" priority="212">
      <formula>W6&lt;(V6-(V6*0.1))</formula>
    </cfRule>
  </conditionalFormatting>
  <conditionalFormatting sqref="Y6">
    <cfRule type="expression" dxfId="191" priority="209">
      <formula>Y6&gt;(X6+(X6*0.1))</formula>
    </cfRule>
    <cfRule type="expression" dxfId="190" priority="210">
      <formula>Y6&lt;(X6-(X6*0.1))</formula>
    </cfRule>
  </conditionalFormatting>
  <conditionalFormatting sqref="AC6">
    <cfRule type="expression" dxfId="189" priority="207">
      <formula>AC6&lt;(Z6-(Z6*0.1))</formula>
    </cfRule>
    <cfRule type="expression" dxfId="188" priority="208">
      <formula>AC6&gt;(Z6+(Z6*0.1))</formula>
    </cfRule>
  </conditionalFormatting>
  <conditionalFormatting sqref="AD6:AE6">
    <cfRule type="expression" dxfId="187" priority="205">
      <formula>AD6&gt;(AA6+(AA6*0.1))</formula>
    </cfRule>
    <cfRule type="expression" dxfId="186" priority="206">
      <formula>AD6&lt;(AA6-(AA6*0.1))</formula>
    </cfRule>
  </conditionalFormatting>
  <conditionalFormatting sqref="I8">
    <cfRule type="expression" dxfId="185" priority="203">
      <formula>I8&gt;(H8+(H8*0.1))</formula>
    </cfRule>
    <cfRule type="expression" dxfId="184" priority="204">
      <formula>I8&lt;(H8-(H8*0.1))</formula>
    </cfRule>
  </conditionalFormatting>
  <conditionalFormatting sqref="K8">
    <cfRule type="expression" dxfId="183" priority="201">
      <formula>K8&gt;(J8+(J8*0.1))</formula>
    </cfRule>
    <cfRule type="expression" dxfId="182" priority="202">
      <formula>K8&lt;(J8-(J8*0.1))</formula>
    </cfRule>
  </conditionalFormatting>
  <conditionalFormatting sqref="O8">
    <cfRule type="expression" dxfId="181" priority="199">
      <formula>O8&lt;(L8-(L8*0.1))</formula>
    </cfRule>
    <cfRule type="expression" dxfId="180" priority="200">
      <formula>O8&gt;(L8+(L8*0.1))</formula>
    </cfRule>
  </conditionalFormatting>
  <conditionalFormatting sqref="P8:Q8">
    <cfRule type="expression" dxfId="179" priority="197">
      <formula>P8&gt;(M8+(M8*0.1))</formula>
    </cfRule>
    <cfRule type="expression" dxfId="178" priority="198">
      <formula>P8&lt;(M8-(M8*0.1))</formula>
    </cfRule>
  </conditionalFormatting>
  <conditionalFormatting sqref="W8">
    <cfRule type="expression" dxfId="177" priority="195">
      <formula>W8&gt;(V8+(V8*0.1))</formula>
    </cfRule>
    <cfRule type="expression" dxfId="176" priority="196">
      <formula>W8&lt;(V8-(V8*0.1))</formula>
    </cfRule>
  </conditionalFormatting>
  <conditionalFormatting sqref="Y8">
    <cfRule type="expression" dxfId="175" priority="193">
      <formula>Y8&gt;(X8+(X8*0.1))</formula>
    </cfRule>
    <cfRule type="expression" dxfId="174" priority="194">
      <formula>Y8&lt;(X8-(X8*0.1))</formula>
    </cfRule>
  </conditionalFormatting>
  <conditionalFormatting sqref="AC8">
    <cfRule type="expression" dxfId="173" priority="191">
      <formula>AC8&lt;(Z8-(Z8*0.1))</formula>
    </cfRule>
    <cfRule type="expression" dxfId="172" priority="192">
      <formula>AC8&gt;(Z8+(Z8*0.1))</formula>
    </cfRule>
  </conditionalFormatting>
  <conditionalFormatting sqref="AD8:AE8">
    <cfRule type="expression" dxfId="171" priority="189">
      <formula>AD8&gt;(AA8+(AA8*0.1))</formula>
    </cfRule>
    <cfRule type="expression" dxfId="170" priority="190">
      <formula>AD8&lt;(AA8-(AA8*0.1))</formula>
    </cfRule>
  </conditionalFormatting>
  <conditionalFormatting sqref="I12">
    <cfRule type="expression" dxfId="169" priority="187">
      <formula>I12&gt;(H12+(H12*0.1))</formula>
    </cfRule>
    <cfRule type="expression" dxfId="168" priority="188">
      <formula>I12&lt;(H12-(H12*0.1))</formula>
    </cfRule>
  </conditionalFormatting>
  <conditionalFormatting sqref="K12">
    <cfRule type="expression" dxfId="167" priority="185">
      <formula>K12&gt;(J12+(J12*0.1))</formula>
    </cfRule>
    <cfRule type="expression" dxfId="166" priority="186">
      <formula>K12&lt;(J12-(J12*0.1))</formula>
    </cfRule>
  </conditionalFormatting>
  <conditionalFormatting sqref="O12">
    <cfRule type="expression" dxfId="165" priority="183">
      <formula>O12&lt;(L12-(L12*0.1))</formula>
    </cfRule>
    <cfRule type="expression" dxfId="164" priority="184">
      <formula>O12&gt;(L12+(L12*0.1))</formula>
    </cfRule>
  </conditionalFormatting>
  <conditionalFormatting sqref="P12:Q12">
    <cfRule type="expression" dxfId="163" priority="181">
      <formula>P12&gt;(M12+(M12*0.1))</formula>
    </cfRule>
    <cfRule type="expression" dxfId="162" priority="182">
      <formula>P12&lt;(M12-(M12*0.1))</formula>
    </cfRule>
  </conditionalFormatting>
  <conditionalFormatting sqref="S12">
    <cfRule type="expression" dxfId="161" priority="179">
      <formula>S12&gt;(R12+(R12*0.1))</formula>
    </cfRule>
    <cfRule type="expression" dxfId="160" priority="180">
      <formula>S12&lt;(R12-(R12*0.1))</formula>
    </cfRule>
  </conditionalFormatting>
  <conditionalFormatting sqref="W12">
    <cfRule type="expression" dxfId="159" priority="177">
      <formula>W12&gt;(V12+(V12*0.1))</formula>
    </cfRule>
    <cfRule type="expression" dxfId="158" priority="178">
      <formula>W12&lt;(V12-(V12*0.1))</formula>
    </cfRule>
  </conditionalFormatting>
  <conditionalFormatting sqref="Y12">
    <cfRule type="expression" dxfId="157" priority="175">
      <formula>Y12&gt;(X12+(X12*0.1))</formula>
    </cfRule>
    <cfRule type="expression" dxfId="156" priority="176">
      <formula>Y12&lt;(X12-(X12*0.1))</formula>
    </cfRule>
  </conditionalFormatting>
  <conditionalFormatting sqref="AC12">
    <cfRule type="expression" dxfId="155" priority="173">
      <formula>AC12&lt;(Z12-(Z12*0.1))</formula>
    </cfRule>
    <cfRule type="expression" dxfId="154" priority="174">
      <formula>AC12&gt;(Z12+(Z12*0.1))</formula>
    </cfRule>
  </conditionalFormatting>
  <conditionalFormatting sqref="AD12:AE12">
    <cfRule type="expression" dxfId="153" priority="171">
      <formula>AD12&gt;(AA12+(AA12*0.1))</formula>
    </cfRule>
    <cfRule type="expression" dxfId="152" priority="172">
      <formula>AD12&lt;(AA12-(AA12*0.1))</formula>
    </cfRule>
  </conditionalFormatting>
  <conditionalFormatting sqref="I14">
    <cfRule type="expression" dxfId="151" priority="169">
      <formula>I14&gt;(H14+(H14*0.1))</formula>
    </cfRule>
    <cfRule type="expression" dxfId="150" priority="170">
      <formula>I14&lt;(H14-(H14*0.1))</formula>
    </cfRule>
  </conditionalFormatting>
  <conditionalFormatting sqref="O14">
    <cfRule type="expression" dxfId="149" priority="167">
      <formula>O14&lt;(L14-(L14*0.1))</formula>
    </cfRule>
    <cfRule type="expression" dxfId="148" priority="168">
      <formula>O14&gt;(L14+(L14*0.1))</formula>
    </cfRule>
  </conditionalFormatting>
  <conditionalFormatting sqref="W14">
    <cfRule type="expression" dxfId="147" priority="165">
      <formula>W14&gt;(V14+(V14*0.1))</formula>
    </cfRule>
    <cfRule type="expression" dxfId="146" priority="166">
      <formula>W14&lt;(V14-(V14*0.1))</formula>
    </cfRule>
  </conditionalFormatting>
  <conditionalFormatting sqref="Y14">
    <cfRule type="expression" dxfId="145" priority="163">
      <formula>Y14&gt;(X14+(X14*0.1))</formula>
    </cfRule>
    <cfRule type="expression" dxfId="144" priority="164">
      <formula>Y14&lt;(X14-(X14*0.1))</formula>
    </cfRule>
  </conditionalFormatting>
  <conditionalFormatting sqref="AC14">
    <cfRule type="expression" dxfId="143" priority="161">
      <formula>AC14&lt;(Z14-(Z14*0.1))</formula>
    </cfRule>
    <cfRule type="expression" dxfId="142" priority="162">
      <formula>AC14&gt;(Z14+(Z14*0.1))</formula>
    </cfRule>
  </conditionalFormatting>
  <conditionalFormatting sqref="AD14:AE14">
    <cfRule type="expression" dxfId="141" priority="159">
      <formula>AD14&gt;(AA14+(AA14*0.1))</formula>
    </cfRule>
    <cfRule type="expression" dxfId="140" priority="160">
      <formula>AD14&lt;(AA14-(AA14*0.1))</formula>
    </cfRule>
  </conditionalFormatting>
  <conditionalFormatting sqref="I16">
    <cfRule type="expression" dxfId="139" priority="157">
      <formula>I16&gt;(H16+(H16*0.1))</formula>
    </cfRule>
    <cfRule type="expression" dxfId="138" priority="158">
      <formula>I16&lt;(H16-(H16*0.1))</formula>
    </cfRule>
  </conditionalFormatting>
  <conditionalFormatting sqref="O16">
    <cfRule type="expression" dxfId="137" priority="155">
      <formula>O16&lt;(L16-(L16*0.1))</formula>
    </cfRule>
    <cfRule type="expression" dxfId="136" priority="156">
      <formula>O16&gt;(L16+(L16*0.1))</formula>
    </cfRule>
  </conditionalFormatting>
  <conditionalFormatting sqref="W16">
    <cfRule type="expression" dxfId="135" priority="153">
      <formula>W16&gt;(V16+(V16*0.1))</formula>
    </cfRule>
    <cfRule type="expression" dxfId="134" priority="154">
      <formula>W16&lt;(V16-(V16*0.1))</formula>
    </cfRule>
  </conditionalFormatting>
  <conditionalFormatting sqref="Y16">
    <cfRule type="expression" dxfId="133" priority="151">
      <formula>Y16&gt;(X16+(X16*0.1))</formula>
    </cfRule>
    <cfRule type="expression" dxfId="132" priority="152">
      <formula>Y16&lt;(X16-(X16*0.1))</formula>
    </cfRule>
  </conditionalFormatting>
  <conditionalFormatting sqref="AC16">
    <cfRule type="expression" dxfId="131" priority="149">
      <formula>AC16&lt;(Z16-(Z16*0.1))</formula>
    </cfRule>
    <cfRule type="expression" dxfId="130" priority="150">
      <formula>AC16&gt;(Z16+(Z16*0.1))</formula>
    </cfRule>
  </conditionalFormatting>
  <conditionalFormatting sqref="I18">
    <cfRule type="expression" dxfId="129" priority="147">
      <formula>I18&gt;(H18+(H18*0.1))</formula>
    </cfRule>
    <cfRule type="expression" dxfId="128" priority="148">
      <formula>I18&lt;(H18-(H18*0.1))</formula>
    </cfRule>
  </conditionalFormatting>
  <conditionalFormatting sqref="K18">
    <cfRule type="expression" dxfId="127" priority="145">
      <formula>K18&gt;(J18+(J18*0.1))</formula>
    </cfRule>
    <cfRule type="expression" dxfId="126" priority="146">
      <formula>K18&lt;(J18-(J18*0.1))</formula>
    </cfRule>
  </conditionalFormatting>
  <conditionalFormatting sqref="O18">
    <cfRule type="expression" dxfId="125" priority="143">
      <formula>O18&lt;(L18-(L18*0.1))</formula>
    </cfRule>
    <cfRule type="expression" dxfId="124" priority="144">
      <formula>O18&gt;(L18+(L18*0.1))</formula>
    </cfRule>
  </conditionalFormatting>
  <conditionalFormatting sqref="W18">
    <cfRule type="expression" dxfId="123" priority="141">
      <formula>W18&gt;(V18+(V18*0.1))</formula>
    </cfRule>
    <cfRule type="expression" dxfId="122" priority="142">
      <formula>W18&lt;(V18-(V18*0.1))</formula>
    </cfRule>
  </conditionalFormatting>
  <conditionalFormatting sqref="Y18">
    <cfRule type="expression" dxfId="121" priority="139">
      <formula>Y18&gt;(X18+(X18*0.1))</formula>
    </cfRule>
    <cfRule type="expression" dxfId="120" priority="140">
      <formula>Y18&lt;(X18-(X18*0.1))</formula>
    </cfRule>
  </conditionalFormatting>
  <conditionalFormatting sqref="AC18">
    <cfRule type="expression" dxfId="119" priority="137">
      <formula>AC18&lt;(Z18-(Z18*0.1))</formula>
    </cfRule>
    <cfRule type="expression" dxfId="118" priority="138">
      <formula>AC18&gt;(Z18+(Z18*0.1))</formula>
    </cfRule>
  </conditionalFormatting>
  <conditionalFormatting sqref="AG45:AG77 K45:K77 I45:I77 S45:S77 W45:W77 Y45:Y77">
    <cfRule type="expression" dxfId="117" priority="135">
      <formula>I45&gt;(H45+(H45*0.1))</formula>
    </cfRule>
    <cfRule type="expression" dxfId="116" priority="136">
      <formula>I45&lt;(H45-(H45*0.1))</formula>
    </cfRule>
  </conditionalFormatting>
  <conditionalFormatting sqref="AC45:AC77 O45:O77">
    <cfRule type="expression" dxfId="115" priority="133">
      <formula>O45&lt;(L45-(L45*0.1))</formula>
    </cfRule>
    <cfRule type="expression" dxfId="114" priority="134">
      <formula>O45&gt;(L45+(L45*0.1))</formula>
    </cfRule>
  </conditionalFormatting>
  <conditionalFormatting sqref="AD45:AE77 Q45:Q77 P45:P56 P59:P77">
    <cfRule type="expression" dxfId="113" priority="131">
      <formula>P45&gt;(M45+(M45*0.1))</formula>
    </cfRule>
    <cfRule type="expression" dxfId="112" priority="132">
      <formula>P45&lt;(M45-(M45*0.1))</formula>
    </cfRule>
  </conditionalFormatting>
  <conditionalFormatting sqref="P57">
    <cfRule type="expression" dxfId="111" priority="129">
      <formula>P57&gt;(M58+(M58*0.1))</formula>
    </cfRule>
    <cfRule type="expression" dxfId="110" priority="130">
      <formula>P57&lt;(M58-(M58*0.1))</formula>
    </cfRule>
  </conditionalFormatting>
  <conditionalFormatting sqref="AG78:AG88 K78:K88 I78:I88 S78:S88 W78:W88 Y78:Y88">
    <cfRule type="expression" dxfId="109" priority="127">
      <formula>I78&gt;(H78+(H78*0.1))</formula>
    </cfRule>
    <cfRule type="expression" dxfId="108" priority="128">
      <formula>I78&lt;(H78-(H78*0.1))</formula>
    </cfRule>
  </conditionalFormatting>
  <conditionalFormatting sqref="AC78:AC88 O78:O88">
    <cfRule type="expression" dxfId="107" priority="125">
      <formula>O78&lt;(L78-(L78*0.1))</formula>
    </cfRule>
    <cfRule type="expression" dxfId="106" priority="126">
      <formula>O78&gt;(L78+(L78*0.1))</formula>
    </cfRule>
  </conditionalFormatting>
  <conditionalFormatting sqref="AD78:AE88 P78:Q88">
    <cfRule type="expression" dxfId="105" priority="123">
      <formula>P78&gt;(M78+(M78*0.1))</formula>
    </cfRule>
    <cfRule type="expression" dxfId="104" priority="124">
      <formula>P78&lt;(M78-(M78*0.1))</formula>
    </cfRule>
  </conditionalFormatting>
  <conditionalFormatting sqref="W150:W179 Y150:Y179 AG150:AG179 K150:K179 I150:I179 S150:S179">
    <cfRule type="expression" dxfId="103" priority="115">
      <formula>I150&gt;(H150+(H150*0.1))</formula>
    </cfRule>
    <cfRule type="expression" dxfId="102" priority="116">
      <formula>I150&lt;(H150-(H150*0.1))</formula>
    </cfRule>
  </conditionalFormatting>
  <conditionalFormatting sqref="AC150:AC179 O162:O179 O150:O159">
    <cfRule type="expression" dxfId="101" priority="113">
      <formula>O150&lt;(L150-(L150*0.1))</formula>
    </cfRule>
    <cfRule type="expression" dxfId="100" priority="114">
      <formula>O150&gt;(L150+(L150*0.1))</formula>
    </cfRule>
  </conditionalFormatting>
  <conditionalFormatting sqref="AD150:AE179 P150:Q179">
    <cfRule type="expression" dxfId="99" priority="111">
      <formula>P150&gt;(M150+(M150*0.1))</formula>
    </cfRule>
    <cfRule type="expression" dxfId="98" priority="112">
      <formula>P150&lt;(M150-(M150*0.1))</formula>
    </cfRule>
  </conditionalFormatting>
  <conditionalFormatting sqref="O161">
    <cfRule type="expression" dxfId="97" priority="109">
      <formula>O161&lt;(L160-(L160*0.1))</formula>
    </cfRule>
    <cfRule type="expression" dxfId="96" priority="110">
      <formula>O161&gt;(L160+(L160*0.1))</formula>
    </cfRule>
  </conditionalFormatting>
  <conditionalFormatting sqref="AG180:AG203 K180:K203 I180:I203 S180:S203 W180:W203 Y180:Y203">
    <cfRule type="expression" dxfId="95" priority="107">
      <formula>I180&gt;(H180+(H180*0.1))</formula>
    </cfRule>
    <cfRule type="expression" dxfId="94" priority="108">
      <formula>I180&lt;(H180-(H180*0.1))</formula>
    </cfRule>
  </conditionalFormatting>
  <conditionalFormatting sqref="AC180:AC203 O180:O203">
    <cfRule type="expression" dxfId="93" priority="105">
      <formula>O180&lt;(L180-(L180*0.1))</formula>
    </cfRule>
    <cfRule type="expression" dxfId="92" priority="106">
      <formula>O180&gt;(L180+(L180*0.1))</formula>
    </cfRule>
  </conditionalFormatting>
  <conditionalFormatting sqref="AD180:AE203 P180:Q203">
    <cfRule type="expression" dxfId="91" priority="103">
      <formula>P180&gt;(M180+(M180*0.1))</formula>
    </cfRule>
    <cfRule type="expression" dxfId="90" priority="104">
      <formula>P180&lt;(M180-(M180*0.1))</formula>
    </cfRule>
  </conditionalFormatting>
  <conditionalFormatting sqref="AG237:AG264 K237:K264 I237:I264 S237:S264 W237:W264 Y237:Y264">
    <cfRule type="expression" dxfId="89" priority="101">
      <formula>I237&gt;(H237+(H237*0.1))</formula>
    </cfRule>
    <cfRule type="expression" dxfId="88" priority="102">
      <formula>I237&lt;(H237-(H237*0.1))</formula>
    </cfRule>
  </conditionalFormatting>
  <conditionalFormatting sqref="AC237:AC264 O237:O264">
    <cfRule type="expression" dxfId="87" priority="99">
      <formula>O237&lt;(L237-(L237*0.1))</formula>
    </cfRule>
    <cfRule type="expression" dxfId="86" priority="100">
      <formula>O237&gt;(L237+(L237*0.1))</formula>
    </cfRule>
  </conditionalFormatting>
  <conditionalFormatting sqref="AD237:AE264 P237:Q264">
    <cfRule type="expression" dxfId="85" priority="97">
      <formula>P237&gt;(M237+(M237*0.1))</formula>
    </cfRule>
    <cfRule type="expression" dxfId="84" priority="98">
      <formula>P237&lt;(M237-(M237*0.1))</formula>
    </cfRule>
  </conditionalFormatting>
  <conditionalFormatting sqref="AG265:AG272 K265:K272 I265:I272 S265:S272 W265:W272 Y265:Y272">
    <cfRule type="expression" dxfId="83" priority="95">
      <formula>I265&gt;(H265+(H265*0.1))</formula>
    </cfRule>
    <cfRule type="expression" dxfId="82" priority="96">
      <formula>I265&lt;(H265-(H265*0.1))</formula>
    </cfRule>
  </conditionalFormatting>
  <conditionalFormatting sqref="AC265:AC272 O265:O272">
    <cfRule type="expression" dxfId="81" priority="93">
      <formula>O265&lt;(L265-(L265*0.1))</formula>
    </cfRule>
    <cfRule type="expression" dxfId="80" priority="94">
      <formula>O265&gt;(L265+(L265*0.1))</formula>
    </cfRule>
  </conditionalFormatting>
  <conditionalFormatting sqref="AD265:AE272 P265:Q272">
    <cfRule type="expression" dxfId="79" priority="91">
      <formula>P265&gt;(M265+(M265*0.1))</formula>
    </cfRule>
    <cfRule type="expression" dxfId="78" priority="92">
      <formula>P265&lt;(M265-(M265*0.1))</formula>
    </cfRule>
  </conditionalFormatting>
  <conditionalFormatting sqref="AG273:AG287 K273:K287 I273:I287 S273:S287 W273:W287 Y273:Y287">
    <cfRule type="expression" dxfId="77" priority="89">
      <formula>I273&gt;(H273+(H273*0.1))</formula>
    </cfRule>
    <cfRule type="expression" dxfId="76" priority="90">
      <formula>I273&lt;(H273-(H273*0.1))</formula>
    </cfRule>
  </conditionalFormatting>
  <conditionalFormatting sqref="AC273:AC287 O273:O287">
    <cfRule type="expression" dxfId="75" priority="87">
      <formula>O273&lt;(L273-(L273*0.1))</formula>
    </cfRule>
    <cfRule type="expression" dxfId="74" priority="88">
      <formula>O273&gt;(L273+(L273*0.1))</formula>
    </cfRule>
  </conditionalFormatting>
  <conditionalFormatting sqref="AD273:AE287 P273:Q287">
    <cfRule type="expression" dxfId="73" priority="85">
      <formula>P273&gt;(M273+(M273*0.1))</formula>
    </cfRule>
    <cfRule type="expression" dxfId="72" priority="86">
      <formula>P273&lt;(M273-(M273*0.1))</formula>
    </cfRule>
  </conditionalFormatting>
  <conditionalFormatting sqref="AG288:AG302 K288:K302 I288:I302 S288:S302 W288:W302 Y288:Y302">
    <cfRule type="expression" dxfId="71" priority="83">
      <formula>I288&gt;(H288+(H288*0.1))</formula>
    </cfRule>
    <cfRule type="expression" dxfId="70" priority="84">
      <formula>I288&lt;(H288-(H288*0.1))</formula>
    </cfRule>
  </conditionalFormatting>
  <conditionalFormatting sqref="AC288:AC302 O288:O302">
    <cfRule type="expression" dxfId="69" priority="81">
      <formula>O288&lt;(L288-(L288*0.1))</formula>
    </cfRule>
    <cfRule type="expression" dxfId="68" priority="82">
      <formula>O288&gt;(L288+(L288*0.1))</formula>
    </cfRule>
  </conditionalFormatting>
  <conditionalFormatting sqref="AD288:AE302 P288:Q302">
    <cfRule type="expression" dxfId="67" priority="79">
      <formula>P288&gt;(M288+(M288*0.1))</formula>
    </cfRule>
    <cfRule type="expression" dxfId="66" priority="80">
      <formula>P288&lt;(M288-(M288*0.1))</formula>
    </cfRule>
  </conditionalFormatting>
  <conditionalFormatting sqref="AG303:AG360 K303:K360 I303:I360 S303:S360 W303:W360 Y303:Y360">
    <cfRule type="expression" dxfId="65" priority="77">
      <formula>I303&gt;(H303+(H303*0.1))</formula>
    </cfRule>
    <cfRule type="expression" dxfId="64" priority="78">
      <formula>I303&lt;(H303-(H303*0.1))</formula>
    </cfRule>
  </conditionalFormatting>
  <conditionalFormatting sqref="AC303:AC360 O303:O360">
    <cfRule type="expression" dxfId="63" priority="75">
      <formula>O303&lt;(L303-(L303*0.1))</formula>
    </cfRule>
    <cfRule type="expression" dxfId="62" priority="76">
      <formula>O303&gt;(L303+(L303*0.1))</formula>
    </cfRule>
  </conditionalFormatting>
  <conditionalFormatting sqref="AD303:AE360 P303:Q360">
    <cfRule type="expression" dxfId="61" priority="73">
      <formula>P303&gt;(M303+(M303*0.1))</formula>
    </cfRule>
    <cfRule type="expression" dxfId="60" priority="74">
      <formula>P303&lt;(M303-(M303*0.1))</formula>
    </cfRule>
  </conditionalFormatting>
  <conditionalFormatting sqref="AG435:AG466 K435:K466 I435:I466 S435:S466 W435:W466 Y435:Y466">
    <cfRule type="expression" dxfId="59" priority="59">
      <formula>I435&gt;(H435+(H435*0.1))</formula>
    </cfRule>
    <cfRule type="expression" dxfId="58" priority="60">
      <formula>I435&lt;(H435-(H435*0.1))</formula>
    </cfRule>
  </conditionalFormatting>
  <conditionalFormatting sqref="AC435:AC466 O435:O466">
    <cfRule type="expression" dxfId="57" priority="57">
      <formula>O435&lt;(L435-(L435*0.1))</formula>
    </cfRule>
    <cfRule type="expression" dxfId="56" priority="58">
      <formula>O435&gt;(L435+(L435*0.1))</formula>
    </cfRule>
  </conditionalFormatting>
  <conditionalFormatting sqref="AD435:AE466 P435:Q466">
    <cfRule type="expression" dxfId="55" priority="55">
      <formula>P435&gt;(M435+(M435*0.1))</formula>
    </cfRule>
    <cfRule type="expression" dxfId="54" priority="56">
      <formula>P435&lt;(M435-(M435*0.1))</formula>
    </cfRule>
  </conditionalFormatting>
  <conditionalFormatting sqref="AG467:AG515 K467:K515 I467:I515 S467:S515 W467:W515 Y467:Y515">
    <cfRule type="expression" dxfId="53" priority="53">
      <formula>I467&gt;(H467+(H467*0.1))</formula>
    </cfRule>
    <cfRule type="expression" dxfId="52" priority="54">
      <formula>I467&lt;(H467-(H467*0.1))</formula>
    </cfRule>
  </conditionalFormatting>
  <conditionalFormatting sqref="AC467:AC515 O467:O515">
    <cfRule type="expression" dxfId="51" priority="51">
      <formula>O467&lt;(L467-(L467*0.1))</formula>
    </cfRule>
    <cfRule type="expression" dxfId="50" priority="52">
      <formula>O467&gt;(L467+(L467*0.1))</formula>
    </cfRule>
  </conditionalFormatting>
  <conditionalFormatting sqref="AD467:AE515 P467:Q515">
    <cfRule type="expression" dxfId="49" priority="49">
      <formula>P467&gt;(M467+(M467*0.1))</formula>
    </cfRule>
    <cfRule type="expression" dxfId="48" priority="50">
      <formula>P467&lt;(M467-(M467*0.1))</formula>
    </cfRule>
  </conditionalFormatting>
  <conditionalFormatting sqref="AG516:AG621 K516:K621 I516:I621 S516:S621 W516:W621 Y516:Y621">
    <cfRule type="expression" dxfId="47" priority="47">
      <formula>I516&gt;(H516+(H516*0.1))</formula>
    </cfRule>
    <cfRule type="expression" dxfId="46" priority="48">
      <formula>I516&lt;(H516-(H516*0.1))</formula>
    </cfRule>
  </conditionalFormatting>
  <conditionalFormatting sqref="AC516:AC621 O516:O621">
    <cfRule type="expression" dxfId="45" priority="45">
      <formula>O516&lt;(L516-(L516*0.1))</formula>
    </cfRule>
    <cfRule type="expression" dxfId="44" priority="46">
      <formula>O516&gt;(L516+(L516*0.1))</formula>
    </cfRule>
  </conditionalFormatting>
  <conditionalFormatting sqref="AD516:AE621 P516:Q621">
    <cfRule type="expression" dxfId="43" priority="43">
      <formula>P516&gt;(M516+(M516*0.1))</formula>
    </cfRule>
    <cfRule type="expression" dxfId="42" priority="44">
      <formula>P516&lt;(M516-(M516*0.1))</formula>
    </cfRule>
  </conditionalFormatting>
  <conditionalFormatting sqref="I516:I621">
    <cfRule type="expression" dxfId="41" priority="41">
      <formula>I516&gt;(H516+(H516*0.1))</formula>
    </cfRule>
    <cfRule type="expression" dxfId="40" priority="42">
      <formula>I516&lt;(H516-(H516*0.1))</formula>
    </cfRule>
  </conditionalFormatting>
  <conditionalFormatting sqref="K516:K621">
    <cfRule type="expression" dxfId="39" priority="39">
      <formula>K516&gt;(J516+(J516*0.1))</formula>
    </cfRule>
    <cfRule type="expression" dxfId="38" priority="40">
      <formula>K516&lt;(J516-(J516*0.1))</formula>
    </cfRule>
  </conditionalFormatting>
  <conditionalFormatting sqref="O516:O621">
    <cfRule type="expression" dxfId="37" priority="37">
      <formula>O516&lt;(L516-(L516*0.1))</formula>
    </cfRule>
    <cfRule type="expression" dxfId="36" priority="38">
      <formula>O516&gt;(L516+(L516*0.1))</formula>
    </cfRule>
  </conditionalFormatting>
  <conditionalFormatting sqref="P516:P621">
    <cfRule type="expression" dxfId="35" priority="35">
      <formula>P516&gt;(M516+(M516*0.1))</formula>
    </cfRule>
    <cfRule type="expression" dxfId="34" priority="36">
      <formula>P516&lt;(M516-(M516*0.1))</formula>
    </cfRule>
  </conditionalFormatting>
  <conditionalFormatting sqref="Q516:Q621">
    <cfRule type="expression" dxfId="33" priority="33">
      <formula>Q516&gt;(N516+(N516*0.1))</formula>
    </cfRule>
    <cfRule type="expression" dxfId="32" priority="34">
      <formula>Q516&lt;(N516-(N516*0.1))</formula>
    </cfRule>
  </conditionalFormatting>
  <conditionalFormatting sqref="W516:W550">
    <cfRule type="expression" dxfId="31" priority="31">
      <formula>W516&gt;(V516+(V516*0.1))</formula>
    </cfRule>
    <cfRule type="expression" dxfId="30" priority="32">
      <formula>W516&lt;(V516-(V516*0.1))</formula>
    </cfRule>
  </conditionalFormatting>
  <conditionalFormatting sqref="W619:W621">
    <cfRule type="expression" dxfId="29" priority="29">
      <formula>W619&gt;(V619+(V619*0.1))</formula>
    </cfRule>
    <cfRule type="expression" dxfId="28" priority="30">
      <formula>W619&lt;(V619-(V619*0.1))</formula>
    </cfRule>
  </conditionalFormatting>
  <conditionalFormatting sqref="Y619:Y621">
    <cfRule type="expression" dxfId="27" priority="27">
      <formula>Y619&gt;(X619+(X619*0.1))</formula>
    </cfRule>
    <cfRule type="expression" dxfId="26" priority="28">
      <formula>Y619&lt;(X619-(X619*0.1))</formula>
    </cfRule>
  </conditionalFormatting>
  <conditionalFormatting sqref="Y516:Y550">
    <cfRule type="expression" dxfId="25" priority="25">
      <formula>Y516&gt;(X516+(X516*0.1))</formula>
    </cfRule>
    <cfRule type="expression" dxfId="24" priority="26">
      <formula>Y516&lt;(X516-(X516*0.1))</formula>
    </cfRule>
  </conditionalFormatting>
  <conditionalFormatting sqref="AC516:AC550">
    <cfRule type="expression" dxfId="23" priority="23">
      <formula>AC516&lt;(Z516-(Z516*0.1))</formula>
    </cfRule>
    <cfRule type="expression" dxfId="22" priority="24">
      <formula>AC516&gt;(Z516+(Z516*0.1))</formula>
    </cfRule>
  </conditionalFormatting>
  <conditionalFormatting sqref="AD516:AD550">
    <cfRule type="expression" dxfId="21" priority="21">
      <formula>AD516&gt;(AA516+(AA516*0.1))</formula>
    </cfRule>
    <cfRule type="expression" dxfId="20" priority="22">
      <formula>AD516&lt;(AA516-(AA516*0.1))</formula>
    </cfRule>
  </conditionalFormatting>
  <conditionalFormatting sqref="AC619:AC621">
    <cfRule type="expression" dxfId="19" priority="19">
      <formula>AC619&lt;(Z619-(Z619*0.1))</formula>
    </cfRule>
    <cfRule type="expression" dxfId="18" priority="20">
      <formula>AC619&gt;(Z619+(Z619*0.1))</formula>
    </cfRule>
  </conditionalFormatting>
  <conditionalFormatting sqref="AD619:AD621">
    <cfRule type="expression" dxfId="17" priority="17">
      <formula>AD619&gt;(AA619+(AA619*0.1))</formula>
    </cfRule>
    <cfRule type="expression" dxfId="16" priority="18">
      <formula>AD619&lt;(AA619-(AA619*0.1))</formula>
    </cfRule>
  </conditionalFormatting>
  <conditionalFormatting sqref="AE619:AE621">
    <cfRule type="expression" dxfId="15" priority="15">
      <formula>AE619&gt;(AB619+(AB619*0.1))</formula>
    </cfRule>
    <cfRule type="expression" dxfId="14" priority="16">
      <formula>AE619&lt;(AB619-(AB619*0.1))</formula>
    </cfRule>
  </conditionalFormatting>
  <conditionalFormatting sqref="AE516:AE550">
    <cfRule type="expression" dxfId="13" priority="13">
      <formula>AE516&gt;(AB516+(AB516*0.1))</formula>
    </cfRule>
    <cfRule type="expression" dxfId="12" priority="14">
      <formula>AE516&lt;(AB516-(AB516*0.1))</formula>
    </cfRule>
  </conditionalFormatting>
  <conditionalFormatting sqref="AG622:AG659 K622:K659 I622:I659 S622:S659 W622:W659 Y622:Y659">
    <cfRule type="expression" dxfId="11" priority="11">
      <formula>I622&gt;(H622+(H622*0.1))</formula>
    </cfRule>
    <cfRule type="expression" dxfId="10" priority="12">
      <formula>I622&lt;(H622-(H622*0.1))</formula>
    </cfRule>
  </conditionalFormatting>
  <conditionalFormatting sqref="AC622:AC659 O622:O659">
    <cfRule type="expression" dxfId="9" priority="9">
      <formula>O622&lt;(L622-(L622*0.1))</formula>
    </cfRule>
    <cfRule type="expression" dxfId="8" priority="10">
      <formula>O622&gt;(L622+(L622*0.1))</formula>
    </cfRule>
  </conditionalFormatting>
  <conditionalFormatting sqref="AD622:AE659 P622:Q659">
    <cfRule type="expression" dxfId="7" priority="7">
      <formula>P622&gt;(M622+(M622*0.1))</formula>
    </cfRule>
    <cfRule type="expression" dxfId="6" priority="8">
      <formula>P622&lt;(M622-(M622*0.1))</formula>
    </cfRule>
  </conditionalFormatting>
  <conditionalFormatting sqref="AG660:AG680 K660:K680 I660:I680 S660:S680 W660:W680 Y660:Y680">
    <cfRule type="expression" dxfId="5" priority="5">
      <formula>I660&gt;(H660+(H660*0.1))</formula>
    </cfRule>
    <cfRule type="expression" dxfId="4" priority="6">
      <formula>I660&lt;(H660-(H660*0.1))</formula>
    </cfRule>
  </conditionalFormatting>
  <conditionalFormatting sqref="AC660:AC680 O660:O680">
    <cfRule type="expression" dxfId="3" priority="3">
      <formula>O660&lt;(L660-(L660*0.1))</formula>
    </cfRule>
    <cfRule type="expression" dxfId="2" priority="4">
      <formula>O660&gt;(L660+(L660*0.1))</formula>
    </cfRule>
  </conditionalFormatting>
  <conditionalFormatting sqref="AD660:AE680 P660:Q680">
    <cfRule type="expression" dxfId="1" priority="1">
      <formula>P660&gt;(M660+(M660*0.1))</formula>
    </cfRule>
    <cfRule type="expression" dxfId="0" priority="2">
      <formula>P660&lt;(M660-(M660*0.1))</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dimension ref="A3:V581"/>
  <sheetViews>
    <sheetView workbookViewId="0">
      <selection sqref="A1:XFD1048576"/>
    </sheetView>
  </sheetViews>
  <sheetFormatPr defaultRowHeight="15"/>
  <cols>
    <col min="1" max="1" width="6" style="243" customWidth="1"/>
    <col min="2" max="2" width="22" style="243" customWidth="1"/>
    <col min="3" max="3" width="11.42578125" style="243" customWidth="1"/>
    <col min="4" max="9" width="11.42578125" style="262" customWidth="1"/>
    <col min="10" max="10" width="9.5703125" style="262" customWidth="1"/>
    <col min="11" max="14" width="11.140625" style="262" customWidth="1"/>
    <col min="15" max="15" width="10.28515625" style="262" customWidth="1"/>
    <col min="16" max="17" width="11.28515625" style="262" customWidth="1"/>
    <col min="18" max="18" width="9.5703125" style="262" customWidth="1"/>
    <col min="19" max="19" width="9.140625" style="262" customWidth="1"/>
    <col min="20" max="22" width="9.140625" style="243" customWidth="1"/>
    <col min="23" max="16384" width="9.140625" style="243"/>
  </cols>
  <sheetData>
    <row r="3" spans="1:22">
      <c r="A3" s="264"/>
      <c r="B3" s="265"/>
      <c r="C3" s="264"/>
      <c r="D3" s="266"/>
      <c r="E3" s="266"/>
      <c r="F3" s="267"/>
      <c r="G3" s="267"/>
      <c r="H3" s="267"/>
      <c r="I3" s="267"/>
      <c r="J3" s="267"/>
      <c r="K3" s="267"/>
      <c r="L3" s="267"/>
      <c r="M3" s="267"/>
      <c r="N3" s="267"/>
      <c r="O3" s="267"/>
      <c r="P3" s="267"/>
      <c r="Q3" s="267"/>
      <c r="R3" s="268"/>
      <c r="S3"/>
      <c r="T3"/>
      <c r="U3"/>
      <c r="V3"/>
    </row>
    <row r="4" spans="1:22">
      <c r="A4" s="269"/>
      <c r="B4" s="270"/>
      <c r="C4" s="269"/>
      <c r="D4" s="271"/>
      <c r="E4" s="270"/>
      <c r="F4" s="270"/>
      <c r="G4" s="270"/>
      <c r="H4" s="270"/>
      <c r="I4" s="270"/>
      <c r="J4" s="272"/>
      <c r="K4" s="269"/>
      <c r="L4" s="270"/>
      <c r="M4" s="270"/>
      <c r="N4" s="270"/>
      <c r="O4" s="269"/>
      <c r="P4" s="269"/>
      <c r="Q4" s="270"/>
      <c r="R4" s="273"/>
      <c r="S4"/>
      <c r="T4"/>
      <c r="U4"/>
      <c r="V4"/>
    </row>
    <row r="5" spans="1:22">
      <c r="A5" s="264"/>
      <c r="B5" s="264"/>
      <c r="C5" s="264"/>
      <c r="D5" s="275"/>
      <c r="E5" s="275"/>
      <c r="F5" s="275"/>
      <c r="G5" s="275"/>
      <c r="H5" s="275"/>
      <c r="I5" s="275"/>
      <c r="J5" s="276"/>
      <c r="K5" s="264"/>
      <c r="L5" s="275"/>
      <c r="M5" s="275"/>
      <c r="N5" s="275"/>
      <c r="O5" s="277"/>
      <c r="P5" s="264"/>
      <c r="Q5" s="275"/>
      <c r="R5" s="278"/>
      <c r="S5"/>
      <c r="T5"/>
      <c r="U5"/>
      <c r="V5"/>
    </row>
    <row r="6" spans="1:22">
      <c r="A6" s="280"/>
      <c r="B6" s="264"/>
      <c r="C6" s="281"/>
      <c r="D6" s="282"/>
      <c r="E6" s="282"/>
      <c r="F6" s="282"/>
      <c r="G6" s="282"/>
      <c r="H6" s="282"/>
      <c r="I6" s="282"/>
      <c r="J6" s="283"/>
      <c r="K6" s="281"/>
      <c r="L6" s="282"/>
      <c r="M6" s="282"/>
      <c r="N6" s="282"/>
      <c r="O6" s="281"/>
      <c r="P6" s="281"/>
      <c r="Q6" s="282"/>
      <c r="R6" s="284"/>
      <c r="S6"/>
      <c r="T6"/>
      <c r="U6"/>
      <c r="V6"/>
    </row>
    <row r="7" spans="1:22">
      <c r="A7" s="285"/>
      <c r="B7" s="286"/>
      <c r="C7" s="287"/>
      <c r="D7" s="288"/>
      <c r="E7" s="288"/>
      <c r="F7" s="288"/>
      <c r="G7" s="288"/>
      <c r="H7" s="288"/>
      <c r="I7" s="288"/>
      <c r="J7" s="289"/>
      <c r="K7" s="287"/>
      <c r="L7" s="288"/>
      <c r="M7" s="288"/>
      <c r="N7" s="288"/>
      <c r="O7" s="287"/>
      <c r="P7" s="287"/>
      <c r="Q7" s="288"/>
      <c r="R7" s="290"/>
      <c r="S7"/>
      <c r="T7"/>
      <c r="U7"/>
      <c r="V7"/>
    </row>
    <row r="8" spans="1:22">
      <c r="A8" s="285"/>
      <c r="B8" s="595"/>
      <c r="C8" s="596"/>
      <c r="D8" s="597"/>
      <c r="E8" s="597"/>
      <c r="F8" s="597"/>
      <c r="G8" s="597"/>
      <c r="H8" s="597"/>
      <c r="I8" s="597"/>
      <c r="J8" s="598"/>
      <c r="K8" s="596"/>
      <c r="L8" s="597"/>
      <c r="M8" s="597"/>
      <c r="N8" s="597"/>
      <c r="O8" s="596"/>
      <c r="P8" s="599"/>
      <c r="Q8" s="597"/>
      <c r="R8" s="600"/>
      <c r="S8"/>
      <c r="T8"/>
      <c r="U8"/>
      <c r="V8"/>
    </row>
    <row r="9" spans="1:22">
      <c r="A9" s="285"/>
      <c r="B9" s="264"/>
      <c r="C9" s="281"/>
      <c r="D9" s="282"/>
      <c r="E9" s="282"/>
      <c r="F9" s="282"/>
      <c r="G9" s="282"/>
      <c r="H9" s="282"/>
      <c r="I9" s="282"/>
      <c r="J9" s="283"/>
      <c r="K9" s="281"/>
      <c r="L9" s="282"/>
      <c r="M9" s="282"/>
      <c r="N9" s="282"/>
      <c r="O9" s="281"/>
      <c r="P9" s="281"/>
      <c r="Q9" s="282"/>
      <c r="R9" s="284"/>
      <c r="S9"/>
      <c r="T9"/>
      <c r="U9"/>
      <c r="V9"/>
    </row>
    <row r="10" spans="1:22">
      <c r="A10" s="285"/>
      <c r="B10" s="286"/>
      <c r="C10" s="287"/>
      <c r="D10" s="288"/>
      <c r="E10" s="288"/>
      <c r="F10" s="288"/>
      <c r="G10" s="288"/>
      <c r="H10" s="288"/>
      <c r="I10" s="288"/>
      <c r="J10" s="289"/>
      <c r="K10" s="287"/>
      <c r="L10" s="288"/>
      <c r="M10" s="288"/>
      <c r="N10" s="288"/>
      <c r="O10" s="287"/>
      <c r="P10" s="287"/>
      <c r="Q10" s="288"/>
      <c r="R10" s="290"/>
      <c r="S10"/>
      <c r="T10"/>
      <c r="U10"/>
      <c r="V10"/>
    </row>
    <row r="11" spans="1:22">
      <c r="A11" s="285"/>
      <c r="B11" s="595"/>
      <c r="C11" s="596"/>
      <c r="D11" s="597"/>
      <c r="E11" s="597"/>
      <c r="F11" s="597"/>
      <c r="G11" s="597"/>
      <c r="H11" s="597"/>
      <c r="I11" s="597"/>
      <c r="J11" s="598"/>
      <c r="K11" s="596"/>
      <c r="L11" s="597"/>
      <c r="M11" s="597"/>
      <c r="N11" s="597"/>
      <c r="O11" s="596"/>
      <c r="P11" s="599"/>
      <c r="Q11" s="597"/>
      <c r="R11" s="600"/>
      <c r="S11"/>
      <c r="T11"/>
      <c r="U11"/>
      <c r="V11"/>
    </row>
    <row r="12" spans="1:22">
      <c r="A12" s="285"/>
      <c r="B12" s="264"/>
      <c r="C12" s="281"/>
      <c r="D12" s="282"/>
      <c r="E12" s="282"/>
      <c r="F12" s="282"/>
      <c r="G12" s="282"/>
      <c r="H12" s="282"/>
      <c r="I12" s="282"/>
      <c r="J12" s="283"/>
      <c r="K12" s="281"/>
      <c r="L12" s="282"/>
      <c r="M12" s="282"/>
      <c r="N12" s="282"/>
      <c r="O12" s="281"/>
      <c r="P12" s="281"/>
      <c r="Q12" s="282"/>
      <c r="R12" s="284"/>
      <c r="S12"/>
      <c r="T12"/>
      <c r="U12"/>
      <c r="V12"/>
    </row>
    <row r="13" spans="1:22">
      <c r="A13" s="285"/>
      <c r="B13" s="286"/>
      <c r="C13" s="287"/>
      <c r="D13" s="288"/>
      <c r="E13" s="288"/>
      <c r="F13" s="288"/>
      <c r="G13" s="288"/>
      <c r="H13" s="288"/>
      <c r="I13" s="288"/>
      <c r="J13" s="289"/>
      <c r="K13" s="287"/>
      <c r="L13" s="288"/>
      <c r="M13" s="288"/>
      <c r="N13" s="288"/>
      <c r="O13" s="287"/>
      <c r="P13" s="287"/>
      <c r="Q13" s="288"/>
      <c r="R13" s="290"/>
      <c r="S13"/>
      <c r="T13"/>
      <c r="U13"/>
      <c r="V13"/>
    </row>
    <row r="14" spans="1:22" s="291" customFormat="1">
      <c r="A14" s="285"/>
      <c r="B14" s="595"/>
      <c r="C14" s="596"/>
      <c r="D14" s="597"/>
      <c r="E14" s="597"/>
      <c r="F14" s="597"/>
      <c r="G14" s="597"/>
      <c r="H14" s="597"/>
      <c r="I14" s="597"/>
      <c r="J14" s="598"/>
      <c r="K14" s="596"/>
      <c r="L14" s="597"/>
      <c r="M14" s="597"/>
      <c r="N14" s="597"/>
      <c r="O14" s="596"/>
      <c r="P14" s="599"/>
      <c r="Q14" s="597"/>
      <c r="R14" s="600"/>
      <c r="S14"/>
      <c r="T14"/>
      <c r="U14"/>
      <c r="V14"/>
    </row>
    <row r="15" spans="1:22">
      <c r="A15" s="285"/>
      <c r="B15" s="264"/>
      <c r="C15" s="281"/>
      <c r="D15" s="282"/>
      <c r="E15" s="282"/>
      <c r="F15" s="282"/>
      <c r="G15" s="282"/>
      <c r="H15" s="282"/>
      <c r="I15" s="282"/>
      <c r="J15" s="283"/>
      <c r="K15" s="281"/>
      <c r="L15" s="282"/>
      <c r="M15" s="282"/>
      <c r="N15" s="282"/>
      <c r="O15" s="281"/>
      <c r="P15" s="281"/>
      <c r="Q15" s="282"/>
      <c r="R15" s="284"/>
      <c r="S15"/>
      <c r="T15"/>
      <c r="U15"/>
      <c r="V15"/>
    </row>
    <row r="16" spans="1:22">
      <c r="A16" s="285"/>
      <c r="B16" s="286"/>
      <c r="C16" s="287"/>
      <c r="D16" s="288"/>
      <c r="E16" s="288"/>
      <c r="F16" s="288"/>
      <c r="G16" s="288"/>
      <c r="H16" s="288"/>
      <c r="I16" s="288"/>
      <c r="J16" s="289"/>
      <c r="K16" s="287"/>
      <c r="L16" s="288"/>
      <c r="M16" s="288"/>
      <c r="N16" s="288"/>
      <c r="O16" s="287"/>
      <c r="P16" s="287"/>
      <c r="Q16" s="288"/>
      <c r="R16" s="290"/>
      <c r="S16"/>
      <c r="T16"/>
      <c r="U16"/>
      <c r="V16"/>
    </row>
    <row r="17" spans="1:22">
      <c r="A17" s="285"/>
      <c r="B17" s="595"/>
      <c r="C17" s="596"/>
      <c r="D17" s="597"/>
      <c r="E17" s="597"/>
      <c r="F17" s="597"/>
      <c r="G17" s="597"/>
      <c r="H17" s="597"/>
      <c r="I17" s="597"/>
      <c r="J17" s="598"/>
      <c r="K17" s="596"/>
      <c r="L17" s="597"/>
      <c r="M17" s="597"/>
      <c r="N17" s="597"/>
      <c r="O17" s="596"/>
      <c r="P17" s="599"/>
      <c r="Q17" s="597"/>
      <c r="R17" s="600"/>
      <c r="S17"/>
      <c r="T17"/>
      <c r="U17"/>
      <c r="V17"/>
    </row>
    <row r="18" spans="1:22">
      <c r="A18" s="285"/>
      <c r="B18" s="264"/>
      <c r="C18" s="281"/>
      <c r="D18" s="282"/>
      <c r="E18" s="282"/>
      <c r="F18" s="282"/>
      <c r="G18" s="282"/>
      <c r="H18" s="282"/>
      <c r="I18" s="282"/>
      <c r="J18" s="283"/>
      <c r="K18" s="281"/>
      <c r="L18" s="282"/>
      <c r="M18" s="282"/>
      <c r="N18" s="282"/>
      <c r="O18" s="281"/>
      <c r="P18" s="281"/>
      <c r="Q18" s="282"/>
      <c r="R18" s="284"/>
      <c r="S18"/>
      <c r="T18"/>
      <c r="U18"/>
      <c r="V18"/>
    </row>
    <row r="19" spans="1:22">
      <c r="A19" s="285"/>
      <c r="B19" s="286"/>
      <c r="C19" s="287"/>
      <c r="D19" s="288"/>
      <c r="E19" s="288"/>
      <c r="F19" s="288"/>
      <c r="G19" s="288"/>
      <c r="H19" s="288"/>
      <c r="I19" s="288"/>
      <c r="J19" s="289"/>
      <c r="K19" s="287"/>
      <c r="L19" s="288"/>
      <c r="M19" s="288"/>
      <c r="N19" s="288"/>
      <c r="O19" s="287"/>
      <c r="P19" s="287"/>
      <c r="Q19" s="288"/>
      <c r="R19" s="290"/>
      <c r="S19"/>
      <c r="T19"/>
      <c r="U19"/>
      <c r="V19"/>
    </row>
    <row r="20" spans="1:22">
      <c r="A20" s="285"/>
      <c r="B20" s="595"/>
      <c r="C20" s="596"/>
      <c r="D20" s="597"/>
      <c r="E20" s="597"/>
      <c r="F20" s="597"/>
      <c r="G20" s="597"/>
      <c r="H20" s="597"/>
      <c r="I20" s="597"/>
      <c r="J20" s="598"/>
      <c r="K20" s="596"/>
      <c r="L20" s="597"/>
      <c r="M20" s="597"/>
      <c r="N20" s="597"/>
      <c r="O20" s="596"/>
      <c r="P20" s="599"/>
      <c r="Q20" s="597"/>
      <c r="R20" s="600"/>
      <c r="S20"/>
      <c r="T20"/>
      <c r="U20"/>
      <c r="V20"/>
    </row>
    <row r="21" spans="1:22">
      <c r="A21" s="285"/>
      <c r="B21" s="264"/>
      <c r="C21" s="281"/>
      <c r="D21" s="282"/>
      <c r="E21" s="282"/>
      <c r="F21" s="282"/>
      <c r="G21" s="282"/>
      <c r="H21" s="282"/>
      <c r="I21" s="282"/>
      <c r="J21" s="283"/>
      <c r="K21" s="281"/>
      <c r="L21" s="282"/>
      <c r="M21" s="282"/>
      <c r="N21" s="282"/>
      <c r="O21" s="281"/>
      <c r="P21" s="281"/>
      <c r="Q21" s="282"/>
      <c r="R21" s="284"/>
      <c r="S21"/>
      <c r="T21"/>
      <c r="U21"/>
      <c r="V21"/>
    </row>
    <row r="22" spans="1:22">
      <c r="A22" s="285"/>
      <c r="B22" s="286"/>
      <c r="C22" s="287"/>
      <c r="D22" s="288"/>
      <c r="E22" s="288"/>
      <c r="F22" s="288"/>
      <c r="G22" s="288"/>
      <c r="H22" s="288"/>
      <c r="I22" s="288"/>
      <c r="J22" s="289"/>
      <c r="K22" s="287"/>
      <c r="L22" s="288"/>
      <c r="M22" s="288"/>
      <c r="N22" s="288"/>
      <c r="O22" s="287"/>
      <c r="P22" s="287"/>
      <c r="Q22" s="288"/>
      <c r="R22" s="290"/>
      <c r="S22"/>
      <c r="T22"/>
      <c r="U22"/>
      <c r="V22"/>
    </row>
    <row r="23" spans="1:22">
      <c r="A23" s="285"/>
      <c r="B23" s="595"/>
      <c r="C23" s="596"/>
      <c r="D23" s="597"/>
      <c r="E23" s="597"/>
      <c r="F23" s="597"/>
      <c r="G23" s="597"/>
      <c r="H23" s="597"/>
      <c r="I23" s="597"/>
      <c r="J23" s="598"/>
      <c r="K23" s="596"/>
      <c r="L23" s="597"/>
      <c r="M23" s="597"/>
      <c r="N23" s="597"/>
      <c r="O23" s="596"/>
      <c r="P23" s="599"/>
      <c r="Q23" s="597"/>
      <c r="R23" s="600"/>
      <c r="S23"/>
      <c r="T23"/>
      <c r="U23"/>
      <c r="V23"/>
    </row>
    <row r="24" spans="1:22">
      <c r="A24" s="285"/>
      <c r="B24" s="264"/>
      <c r="C24" s="281"/>
      <c r="D24" s="282"/>
      <c r="E24" s="282"/>
      <c r="F24" s="282"/>
      <c r="G24" s="282"/>
      <c r="H24" s="282"/>
      <c r="I24" s="282"/>
      <c r="J24" s="283"/>
      <c r="K24" s="281"/>
      <c r="L24" s="282"/>
      <c r="M24" s="282"/>
      <c r="N24" s="282"/>
      <c r="O24" s="281"/>
      <c r="P24" s="281"/>
      <c r="Q24" s="282"/>
      <c r="R24" s="284"/>
      <c r="S24"/>
      <c r="T24"/>
      <c r="U24"/>
      <c r="V24"/>
    </row>
    <row r="25" spans="1:22">
      <c r="A25" s="285"/>
      <c r="B25" s="286"/>
      <c r="C25" s="287"/>
      <c r="D25" s="288"/>
      <c r="E25" s="288"/>
      <c r="F25" s="288"/>
      <c r="G25" s="288"/>
      <c r="H25" s="288"/>
      <c r="I25" s="288"/>
      <c r="J25" s="289"/>
      <c r="K25" s="287"/>
      <c r="L25" s="288"/>
      <c r="M25" s="288"/>
      <c r="N25" s="288"/>
      <c r="O25" s="287"/>
      <c r="P25" s="287"/>
      <c r="Q25" s="288"/>
      <c r="R25" s="290"/>
      <c r="S25"/>
      <c r="T25"/>
      <c r="U25"/>
      <c r="V25"/>
    </row>
    <row r="26" spans="1:22">
      <c r="A26" s="285"/>
      <c r="B26" s="595"/>
      <c r="C26" s="596"/>
      <c r="D26" s="597"/>
      <c r="E26" s="597"/>
      <c r="F26" s="597"/>
      <c r="G26" s="597"/>
      <c r="H26" s="597"/>
      <c r="I26" s="597"/>
      <c r="J26" s="598"/>
      <c r="K26" s="596"/>
      <c r="L26" s="597"/>
      <c r="M26" s="597"/>
      <c r="N26" s="597"/>
      <c r="O26" s="596"/>
      <c r="P26" s="599"/>
      <c r="Q26" s="597"/>
      <c r="R26" s="600"/>
      <c r="S26"/>
      <c r="T26"/>
      <c r="U26"/>
      <c r="V26"/>
    </row>
    <row r="27" spans="1:22">
      <c r="A27" s="285"/>
      <c r="B27" s="264"/>
      <c r="C27" s="281"/>
      <c r="D27" s="282"/>
      <c r="E27" s="282"/>
      <c r="F27" s="282"/>
      <c r="G27" s="282"/>
      <c r="H27" s="282"/>
      <c r="I27" s="282"/>
      <c r="J27" s="283"/>
      <c r="K27" s="281"/>
      <c r="L27" s="282"/>
      <c r="M27" s="282"/>
      <c r="N27" s="282"/>
      <c r="O27" s="281"/>
      <c r="P27" s="281"/>
      <c r="Q27" s="282"/>
      <c r="R27" s="284"/>
      <c r="S27"/>
      <c r="T27"/>
      <c r="U27"/>
      <c r="V27"/>
    </row>
    <row r="28" spans="1:22">
      <c r="A28" s="285"/>
      <c r="B28" s="286"/>
      <c r="C28" s="287"/>
      <c r="D28" s="288"/>
      <c r="E28" s="288"/>
      <c r="F28" s="288"/>
      <c r="G28" s="288"/>
      <c r="H28" s="288"/>
      <c r="I28" s="288"/>
      <c r="J28" s="289"/>
      <c r="K28" s="287"/>
      <c r="L28" s="288"/>
      <c r="M28" s="288"/>
      <c r="N28" s="288"/>
      <c r="O28" s="287"/>
      <c r="P28" s="287"/>
      <c r="Q28" s="288"/>
      <c r="R28" s="290"/>
      <c r="S28"/>
      <c r="T28"/>
      <c r="U28"/>
      <c r="V28"/>
    </row>
    <row r="29" spans="1:22">
      <c r="A29" s="285"/>
      <c r="B29" s="595"/>
      <c r="C29" s="596"/>
      <c r="D29" s="597"/>
      <c r="E29" s="597"/>
      <c r="F29" s="597"/>
      <c r="G29" s="597"/>
      <c r="H29" s="597"/>
      <c r="I29" s="597"/>
      <c r="J29" s="598"/>
      <c r="K29" s="596"/>
      <c r="L29" s="597"/>
      <c r="M29" s="597"/>
      <c r="N29" s="597"/>
      <c r="O29" s="596"/>
      <c r="P29" s="599"/>
      <c r="Q29" s="597"/>
      <c r="R29" s="600"/>
      <c r="S29"/>
      <c r="T29"/>
      <c r="U29"/>
      <c r="V29"/>
    </row>
    <row r="30" spans="1:22">
      <c r="A30" s="285"/>
      <c r="B30" s="264"/>
      <c r="C30" s="281"/>
      <c r="D30" s="282"/>
      <c r="E30" s="282"/>
      <c r="F30" s="282"/>
      <c r="G30" s="282"/>
      <c r="H30" s="282"/>
      <c r="I30" s="282"/>
      <c r="J30" s="283"/>
      <c r="K30" s="281"/>
      <c r="L30" s="282"/>
      <c r="M30" s="282"/>
      <c r="N30" s="282"/>
      <c r="O30" s="281"/>
      <c r="P30" s="281"/>
      <c r="Q30" s="282"/>
      <c r="R30" s="284"/>
      <c r="S30"/>
      <c r="T30"/>
      <c r="U30"/>
      <c r="V30"/>
    </row>
    <row r="31" spans="1:22">
      <c r="A31" s="285"/>
      <c r="B31" s="286"/>
      <c r="C31" s="287"/>
      <c r="D31" s="288"/>
      <c r="E31" s="288"/>
      <c r="F31" s="288"/>
      <c r="G31" s="288"/>
      <c r="H31" s="288"/>
      <c r="I31" s="288"/>
      <c r="J31" s="289"/>
      <c r="K31" s="287"/>
      <c r="L31" s="288"/>
      <c r="M31" s="288"/>
      <c r="N31" s="288"/>
      <c r="O31" s="287"/>
      <c r="P31" s="287"/>
      <c r="Q31" s="288"/>
      <c r="R31" s="290"/>
      <c r="S31"/>
      <c r="T31"/>
      <c r="U31"/>
      <c r="V31"/>
    </row>
    <row r="32" spans="1:22">
      <c r="A32" s="285"/>
      <c r="B32" s="595"/>
      <c r="C32" s="596"/>
      <c r="D32" s="597"/>
      <c r="E32" s="597"/>
      <c r="F32" s="597"/>
      <c r="G32" s="597"/>
      <c r="H32" s="597"/>
      <c r="I32" s="597"/>
      <c r="J32" s="598"/>
      <c r="K32" s="596"/>
      <c r="L32" s="597"/>
      <c r="M32" s="597"/>
      <c r="N32" s="597"/>
      <c r="O32" s="596"/>
      <c r="P32" s="599"/>
      <c r="Q32" s="597"/>
      <c r="R32" s="600"/>
      <c r="S32"/>
      <c r="T32"/>
      <c r="U32"/>
      <c r="V32"/>
    </row>
    <row r="33" spans="1:22">
      <c r="A33" s="285"/>
      <c r="B33" s="264"/>
      <c r="C33" s="281"/>
      <c r="D33" s="282"/>
      <c r="E33" s="282"/>
      <c r="F33" s="282"/>
      <c r="G33" s="282"/>
      <c r="H33" s="282"/>
      <c r="I33" s="282"/>
      <c r="J33" s="283"/>
      <c r="K33" s="281"/>
      <c r="L33" s="282"/>
      <c r="M33" s="282"/>
      <c r="N33" s="282"/>
      <c r="O33" s="281"/>
      <c r="P33" s="281"/>
      <c r="Q33" s="282"/>
      <c r="R33" s="284"/>
      <c r="S33"/>
      <c r="T33"/>
      <c r="U33"/>
      <c r="V33"/>
    </row>
    <row r="34" spans="1:22">
      <c r="A34" s="285"/>
      <c r="B34" s="286"/>
      <c r="C34" s="287"/>
      <c r="D34" s="288"/>
      <c r="E34" s="288"/>
      <c r="F34" s="288"/>
      <c r="G34" s="288"/>
      <c r="H34" s="288"/>
      <c r="I34" s="288"/>
      <c r="J34" s="289"/>
      <c r="K34" s="287"/>
      <c r="L34" s="288"/>
      <c r="M34" s="288"/>
      <c r="N34" s="288"/>
      <c r="O34" s="287"/>
      <c r="P34" s="287"/>
      <c r="Q34" s="288"/>
      <c r="R34" s="290"/>
      <c r="S34"/>
      <c r="T34"/>
      <c r="U34"/>
      <c r="V34"/>
    </row>
    <row r="35" spans="1:22">
      <c r="A35" s="285"/>
      <c r="B35" s="595"/>
      <c r="C35" s="596"/>
      <c r="D35" s="597"/>
      <c r="E35" s="597"/>
      <c r="F35" s="597"/>
      <c r="G35" s="597"/>
      <c r="H35" s="597"/>
      <c r="I35" s="597"/>
      <c r="J35" s="598"/>
      <c r="K35" s="596"/>
      <c r="L35" s="597"/>
      <c r="M35" s="597"/>
      <c r="N35" s="597"/>
      <c r="O35" s="596"/>
      <c r="P35" s="599"/>
      <c r="Q35" s="597"/>
      <c r="R35" s="600"/>
      <c r="S35"/>
      <c r="T35"/>
      <c r="U35"/>
      <c r="V35"/>
    </row>
    <row r="36" spans="1:22">
      <c r="A36" s="285"/>
      <c r="B36" s="264"/>
      <c r="C36" s="281"/>
      <c r="D36" s="282"/>
      <c r="E36" s="282"/>
      <c r="F36" s="282"/>
      <c r="G36" s="282"/>
      <c r="H36" s="282"/>
      <c r="I36" s="282"/>
      <c r="J36" s="283"/>
      <c r="K36" s="281"/>
      <c r="L36" s="282"/>
      <c r="M36" s="282"/>
      <c r="N36" s="282"/>
      <c r="O36" s="281"/>
      <c r="P36" s="281"/>
      <c r="Q36" s="282"/>
      <c r="R36" s="284"/>
      <c r="S36"/>
      <c r="T36"/>
      <c r="U36"/>
      <c r="V36"/>
    </row>
    <row r="37" spans="1:22">
      <c r="A37" s="285"/>
      <c r="B37" s="286"/>
      <c r="C37" s="287"/>
      <c r="D37" s="288"/>
      <c r="E37" s="288"/>
      <c r="F37" s="288"/>
      <c r="G37" s="288"/>
      <c r="H37" s="288"/>
      <c r="I37" s="288"/>
      <c r="J37" s="289"/>
      <c r="K37" s="287"/>
      <c r="L37" s="288"/>
      <c r="M37" s="288"/>
      <c r="N37" s="288"/>
      <c r="O37" s="287"/>
      <c r="P37" s="287"/>
      <c r="Q37" s="288"/>
      <c r="R37" s="290"/>
      <c r="S37"/>
      <c r="T37"/>
      <c r="U37"/>
      <c r="V37"/>
    </row>
    <row r="38" spans="1:22">
      <c r="A38" s="285"/>
      <c r="B38" s="595"/>
      <c r="C38" s="596"/>
      <c r="D38" s="597"/>
      <c r="E38" s="597"/>
      <c r="F38" s="597"/>
      <c r="G38" s="597"/>
      <c r="H38" s="597"/>
      <c r="I38" s="597"/>
      <c r="J38" s="598"/>
      <c r="K38" s="596"/>
      <c r="L38" s="597"/>
      <c r="M38" s="597"/>
      <c r="N38" s="597"/>
      <c r="O38" s="596"/>
      <c r="P38" s="599"/>
      <c r="Q38" s="597"/>
      <c r="R38" s="600"/>
      <c r="S38"/>
      <c r="T38"/>
      <c r="U38"/>
      <c r="V38"/>
    </row>
    <row r="39" spans="1:22">
      <c r="A39" s="285"/>
      <c r="B39" s="264"/>
      <c r="C39" s="281"/>
      <c r="D39" s="282"/>
      <c r="E39" s="282"/>
      <c r="F39" s="282"/>
      <c r="G39" s="282"/>
      <c r="H39" s="282"/>
      <c r="I39" s="282"/>
      <c r="J39" s="283"/>
      <c r="K39" s="281"/>
      <c r="L39" s="282"/>
      <c r="M39" s="282"/>
      <c r="N39" s="282"/>
      <c r="O39" s="281"/>
      <c r="P39" s="281"/>
      <c r="Q39" s="282"/>
      <c r="R39" s="284"/>
      <c r="S39"/>
      <c r="T39"/>
      <c r="U39"/>
      <c r="V39"/>
    </row>
    <row r="40" spans="1:22">
      <c r="A40" s="285"/>
      <c r="B40" s="286"/>
      <c r="C40" s="287"/>
      <c r="D40" s="288"/>
      <c r="E40" s="288"/>
      <c r="F40" s="288"/>
      <c r="G40" s="288"/>
      <c r="H40" s="288"/>
      <c r="I40" s="288"/>
      <c r="J40" s="289"/>
      <c r="K40" s="287"/>
      <c r="L40" s="288"/>
      <c r="M40" s="288"/>
      <c r="N40" s="288"/>
      <c r="O40" s="287"/>
      <c r="P40" s="287"/>
      <c r="Q40" s="288"/>
      <c r="R40" s="290"/>
      <c r="S40"/>
      <c r="T40"/>
      <c r="U40"/>
      <c r="V40"/>
    </row>
    <row r="41" spans="1:22">
      <c r="A41" s="292"/>
      <c r="B41" s="595"/>
      <c r="C41" s="596"/>
      <c r="D41" s="597"/>
      <c r="E41" s="597"/>
      <c r="F41" s="597"/>
      <c r="G41" s="597"/>
      <c r="H41" s="597"/>
      <c r="I41" s="597"/>
      <c r="J41" s="598"/>
      <c r="K41" s="596"/>
      <c r="L41" s="597"/>
      <c r="M41" s="597"/>
      <c r="N41" s="597"/>
      <c r="O41" s="596"/>
      <c r="P41" s="599"/>
      <c r="Q41" s="597"/>
      <c r="R41" s="600"/>
      <c r="S41"/>
      <c r="T41"/>
      <c r="U41"/>
      <c r="V41"/>
    </row>
    <row r="42" spans="1:22">
      <c r="A42" s="280"/>
      <c r="B42" s="264"/>
      <c r="C42" s="281"/>
      <c r="D42" s="282"/>
      <c r="E42" s="282"/>
      <c r="F42" s="282"/>
      <c r="G42" s="282"/>
      <c r="H42" s="282"/>
      <c r="I42" s="282"/>
      <c r="J42" s="283"/>
      <c r="K42" s="281"/>
      <c r="L42" s="282"/>
      <c r="M42" s="282"/>
      <c r="N42" s="282"/>
      <c r="O42" s="281"/>
      <c r="P42" s="281"/>
      <c r="Q42" s="282"/>
      <c r="R42" s="284"/>
      <c r="S42"/>
      <c r="T42"/>
      <c r="U42"/>
      <c r="V42"/>
    </row>
    <row r="43" spans="1:22">
      <c r="A43" s="285"/>
      <c r="B43" s="286"/>
      <c r="C43" s="287"/>
      <c r="D43" s="288"/>
      <c r="E43" s="288"/>
      <c r="F43" s="288"/>
      <c r="G43" s="288"/>
      <c r="H43" s="288"/>
      <c r="I43" s="288"/>
      <c r="J43" s="289"/>
      <c r="K43" s="287"/>
      <c r="L43" s="288"/>
      <c r="M43" s="288"/>
      <c r="N43" s="288"/>
      <c r="O43" s="287"/>
      <c r="P43" s="287"/>
      <c r="Q43" s="288"/>
      <c r="R43" s="290"/>
      <c r="S43"/>
      <c r="T43"/>
      <c r="U43"/>
      <c r="V43"/>
    </row>
    <row r="44" spans="1:22">
      <c r="A44" s="285"/>
      <c r="B44" s="595"/>
      <c r="C44" s="596"/>
      <c r="D44" s="597"/>
      <c r="E44" s="597"/>
      <c r="F44" s="597"/>
      <c r="G44" s="597"/>
      <c r="H44" s="597"/>
      <c r="I44" s="597"/>
      <c r="J44" s="598"/>
      <c r="K44" s="596"/>
      <c r="L44" s="597"/>
      <c r="M44" s="597"/>
      <c r="N44" s="597"/>
      <c r="O44" s="596"/>
      <c r="P44" s="599"/>
      <c r="Q44" s="597"/>
      <c r="R44" s="600"/>
      <c r="S44"/>
      <c r="T44"/>
      <c r="U44"/>
      <c r="V44"/>
    </row>
    <row r="45" spans="1:22">
      <c r="A45" s="285"/>
      <c r="B45" s="264"/>
      <c r="C45" s="281"/>
      <c r="D45" s="282"/>
      <c r="E45" s="282"/>
      <c r="F45" s="282"/>
      <c r="G45" s="282"/>
      <c r="H45" s="282"/>
      <c r="I45" s="282"/>
      <c r="J45" s="283"/>
      <c r="K45" s="281"/>
      <c r="L45" s="282"/>
      <c r="M45" s="282"/>
      <c r="N45" s="282"/>
      <c r="O45" s="281"/>
      <c r="P45" s="281"/>
      <c r="Q45" s="282"/>
      <c r="R45" s="284"/>
      <c r="S45"/>
      <c r="T45"/>
      <c r="U45"/>
      <c r="V45"/>
    </row>
    <row r="46" spans="1:22">
      <c r="A46" s="285"/>
      <c r="B46" s="286"/>
      <c r="C46" s="287"/>
      <c r="D46" s="288"/>
      <c r="E46" s="288"/>
      <c r="F46" s="288"/>
      <c r="G46" s="288"/>
      <c r="H46" s="288"/>
      <c r="I46" s="288"/>
      <c r="J46" s="289"/>
      <c r="K46" s="287"/>
      <c r="L46" s="288"/>
      <c r="M46" s="288"/>
      <c r="N46" s="288"/>
      <c r="O46" s="287"/>
      <c r="P46" s="287"/>
      <c r="Q46" s="288"/>
      <c r="R46" s="290"/>
      <c r="S46"/>
      <c r="T46"/>
      <c r="U46"/>
      <c r="V46"/>
    </row>
    <row r="47" spans="1:22">
      <c r="A47" s="285"/>
      <c r="B47" s="595"/>
      <c r="C47" s="596"/>
      <c r="D47" s="597"/>
      <c r="E47" s="597"/>
      <c r="F47" s="597"/>
      <c r="G47" s="597"/>
      <c r="H47" s="597"/>
      <c r="I47" s="597"/>
      <c r="J47" s="598"/>
      <c r="K47" s="596"/>
      <c r="L47" s="597"/>
      <c r="M47" s="597"/>
      <c r="N47" s="597"/>
      <c r="O47" s="596"/>
      <c r="P47" s="599"/>
      <c r="Q47" s="597"/>
      <c r="R47" s="600"/>
      <c r="S47"/>
      <c r="T47"/>
      <c r="U47"/>
      <c r="V47"/>
    </row>
    <row r="48" spans="1:22">
      <c r="A48" s="285"/>
      <c r="B48" s="264"/>
      <c r="C48" s="281"/>
      <c r="D48" s="282"/>
      <c r="E48" s="282"/>
      <c r="F48" s="282"/>
      <c r="G48" s="282"/>
      <c r="H48" s="282"/>
      <c r="I48" s="282"/>
      <c r="J48" s="283"/>
      <c r="K48" s="281"/>
      <c r="L48" s="282"/>
      <c r="M48" s="282"/>
      <c r="N48" s="282"/>
      <c r="O48" s="281"/>
      <c r="P48" s="281"/>
      <c r="Q48" s="282"/>
      <c r="R48" s="284"/>
      <c r="S48"/>
      <c r="T48"/>
      <c r="U48"/>
      <c r="V48"/>
    </row>
    <row r="49" spans="1:22">
      <c r="A49" s="285"/>
      <c r="B49" s="286"/>
      <c r="C49" s="287"/>
      <c r="D49" s="288"/>
      <c r="E49" s="288"/>
      <c r="F49" s="288"/>
      <c r="G49" s="288"/>
      <c r="H49" s="288"/>
      <c r="I49" s="288"/>
      <c r="J49" s="289"/>
      <c r="K49" s="287"/>
      <c r="L49" s="288"/>
      <c r="M49" s="288"/>
      <c r="N49" s="288"/>
      <c r="O49" s="287"/>
      <c r="P49" s="287"/>
      <c r="Q49" s="288"/>
      <c r="R49" s="290"/>
      <c r="S49"/>
      <c r="T49"/>
      <c r="U49"/>
      <c r="V49"/>
    </row>
    <row r="50" spans="1:22">
      <c r="A50" s="285"/>
      <c r="B50" s="595"/>
      <c r="C50" s="596"/>
      <c r="D50" s="597"/>
      <c r="E50" s="597"/>
      <c r="F50" s="597"/>
      <c r="G50" s="597"/>
      <c r="H50" s="597"/>
      <c r="I50" s="597"/>
      <c r="J50" s="598"/>
      <c r="K50" s="596"/>
      <c r="L50" s="597"/>
      <c r="M50" s="597"/>
      <c r="N50" s="597"/>
      <c r="O50" s="596"/>
      <c r="P50" s="599"/>
      <c r="Q50" s="597"/>
      <c r="R50" s="600"/>
      <c r="S50"/>
      <c r="T50"/>
      <c r="U50"/>
      <c r="V50"/>
    </row>
    <row r="51" spans="1:22">
      <c r="A51" s="285"/>
      <c r="B51" s="264"/>
      <c r="C51" s="281"/>
      <c r="D51" s="282"/>
      <c r="E51" s="282"/>
      <c r="F51" s="282"/>
      <c r="G51" s="282"/>
      <c r="H51" s="282"/>
      <c r="I51" s="282"/>
      <c r="J51" s="283"/>
      <c r="K51" s="281"/>
      <c r="L51" s="282"/>
      <c r="M51" s="282"/>
      <c r="N51" s="282"/>
      <c r="O51" s="281"/>
      <c r="P51" s="281"/>
      <c r="Q51" s="282"/>
      <c r="R51" s="284"/>
      <c r="S51"/>
      <c r="T51"/>
      <c r="U51"/>
      <c r="V51"/>
    </row>
    <row r="52" spans="1:22">
      <c r="A52" s="285"/>
      <c r="B52" s="286"/>
      <c r="C52" s="287"/>
      <c r="D52" s="288"/>
      <c r="E52" s="288"/>
      <c r="F52" s="288"/>
      <c r="G52" s="288"/>
      <c r="H52" s="288"/>
      <c r="I52" s="288"/>
      <c r="J52" s="289"/>
      <c r="K52" s="287"/>
      <c r="L52" s="288"/>
      <c r="M52" s="288"/>
      <c r="N52" s="288"/>
      <c r="O52" s="287"/>
      <c r="P52" s="287"/>
      <c r="Q52" s="288"/>
      <c r="R52" s="290"/>
      <c r="S52"/>
      <c r="T52"/>
      <c r="U52"/>
      <c r="V52"/>
    </row>
    <row r="53" spans="1:22">
      <c r="A53" s="285"/>
      <c r="B53" s="595"/>
      <c r="C53" s="596"/>
      <c r="D53" s="597"/>
      <c r="E53" s="597"/>
      <c r="F53" s="597"/>
      <c r="G53" s="597"/>
      <c r="H53" s="597"/>
      <c r="I53" s="597"/>
      <c r="J53" s="598"/>
      <c r="K53" s="596"/>
      <c r="L53" s="597"/>
      <c r="M53" s="597"/>
      <c r="N53" s="597"/>
      <c r="O53" s="596"/>
      <c r="P53" s="599"/>
      <c r="Q53" s="597"/>
      <c r="R53" s="600"/>
      <c r="S53"/>
      <c r="T53"/>
      <c r="U53"/>
      <c r="V53"/>
    </row>
    <row r="54" spans="1:22">
      <c r="A54" s="285"/>
      <c r="B54" s="264"/>
      <c r="C54" s="281"/>
      <c r="D54" s="282"/>
      <c r="E54" s="282"/>
      <c r="F54" s="282"/>
      <c r="G54" s="282"/>
      <c r="H54" s="282"/>
      <c r="I54" s="282"/>
      <c r="J54" s="283"/>
      <c r="K54" s="281"/>
      <c r="L54" s="282"/>
      <c r="M54" s="282"/>
      <c r="N54" s="282"/>
      <c r="O54" s="281"/>
      <c r="P54" s="281"/>
      <c r="Q54" s="282"/>
      <c r="R54" s="284"/>
      <c r="S54"/>
      <c r="T54"/>
      <c r="U54"/>
      <c r="V54"/>
    </row>
    <row r="55" spans="1:22">
      <c r="A55" s="285"/>
      <c r="B55" s="286"/>
      <c r="C55" s="287"/>
      <c r="D55" s="288"/>
      <c r="E55" s="288"/>
      <c r="F55" s="288"/>
      <c r="G55" s="288"/>
      <c r="H55" s="288"/>
      <c r="I55" s="288"/>
      <c r="J55" s="289"/>
      <c r="K55" s="287"/>
      <c r="L55" s="288"/>
      <c r="M55" s="288"/>
      <c r="N55" s="288"/>
      <c r="O55" s="287"/>
      <c r="P55" s="287"/>
      <c r="Q55" s="288"/>
      <c r="R55" s="290"/>
      <c r="S55"/>
      <c r="T55"/>
      <c r="U55"/>
      <c r="V55"/>
    </row>
    <row r="56" spans="1:22">
      <c r="A56" s="285"/>
      <c r="B56" s="595"/>
      <c r="C56" s="596"/>
      <c r="D56" s="597"/>
      <c r="E56" s="597"/>
      <c r="F56" s="597"/>
      <c r="G56" s="597"/>
      <c r="H56" s="597"/>
      <c r="I56" s="597"/>
      <c r="J56" s="598"/>
      <c r="K56" s="596"/>
      <c r="L56" s="597"/>
      <c r="M56" s="597"/>
      <c r="N56" s="597"/>
      <c r="O56" s="596"/>
      <c r="P56" s="599"/>
      <c r="Q56" s="597"/>
      <c r="R56" s="600"/>
      <c r="S56"/>
      <c r="T56"/>
      <c r="U56"/>
      <c r="V56"/>
    </row>
    <row r="57" spans="1:22">
      <c r="A57" s="285"/>
      <c r="B57" s="264"/>
      <c r="C57" s="281"/>
      <c r="D57" s="282"/>
      <c r="E57" s="282"/>
      <c r="F57" s="282"/>
      <c r="G57" s="282"/>
      <c r="H57" s="282"/>
      <c r="I57" s="282"/>
      <c r="J57" s="283"/>
      <c r="K57" s="281"/>
      <c r="L57" s="282"/>
      <c r="M57" s="282"/>
      <c r="N57" s="282"/>
      <c r="O57" s="281"/>
      <c r="P57" s="281"/>
      <c r="Q57" s="282"/>
      <c r="R57" s="284"/>
      <c r="S57"/>
      <c r="T57"/>
      <c r="U57"/>
      <c r="V57"/>
    </row>
    <row r="58" spans="1:22">
      <c r="A58" s="285"/>
      <c r="B58" s="286"/>
      <c r="C58" s="287"/>
      <c r="D58" s="288"/>
      <c r="E58" s="288"/>
      <c r="F58" s="288"/>
      <c r="G58" s="288"/>
      <c r="H58" s="288"/>
      <c r="I58" s="288"/>
      <c r="J58" s="289"/>
      <c r="K58" s="287"/>
      <c r="L58" s="288"/>
      <c r="M58" s="288"/>
      <c r="N58" s="288"/>
      <c r="O58" s="287"/>
      <c r="P58" s="287"/>
      <c r="Q58" s="288"/>
      <c r="R58" s="290"/>
      <c r="S58"/>
      <c r="T58"/>
      <c r="U58"/>
      <c r="V58"/>
    </row>
    <row r="59" spans="1:22">
      <c r="A59" s="285"/>
      <c r="B59" s="595"/>
      <c r="C59" s="596"/>
      <c r="D59" s="597"/>
      <c r="E59" s="597"/>
      <c r="F59" s="597"/>
      <c r="G59" s="597"/>
      <c r="H59" s="597"/>
      <c r="I59" s="597"/>
      <c r="J59" s="598"/>
      <c r="K59" s="596"/>
      <c r="L59" s="597"/>
      <c r="M59" s="597"/>
      <c r="N59" s="597"/>
      <c r="O59" s="596"/>
      <c r="P59" s="599"/>
      <c r="Q59" s="597"/>
      <c r="R59" s="600"/>
      <c r="S59"/>
      <c r="T59"/>
      <c r="U59"/>
      <c r="V59"/>
    </row>
    <row r="60" spans="1:22">
      <c r="A60" s="285"/>
      <c r="B60" s="264"/>
      <c r="C60" s="281"/>
      <c r="D60" s="282"/>
      <c r="E60" s="282"/>
      <c r="F60" s="282"/>
      <c r="G60" s="282"/>
      <c r="H60" s="282"/>
      <c r="I60" s="282"/>
      <c r="J60" s="283"/>
      <c r="K60" s="281"/>
      <c r="L60" s="282"/>
      <c r="M60" s="282"/>
      <c r="N60" s="282"/>
      <c r="O60" s="281"/>
      <c r="P60" s="281"/>
      <c r="Q60" s="282"/>
      <c r="R60" s="284"/>
      <c r="S60"/>
      <c r="T60"/>
      <c r="U60"/>
      <c r="V60"/>
    </row>
    <row r="61" spans="1:22">
      <c r="A61" s="285"/>
      <c r="B61" s="286"/>
      <c r="C61" s="287"/>
      <c r="D61" s="288"/>
      <c r="E61" s="288"/>
      <c r="F61" s="288"/>
      <c r="G61" s="288"/>
      <c r="H61" s="288"/>
      <c r="I61" s="288"/>
      <c r="J61" s="289"/>
      <c r="K61" s="287"/>
      <c r="L61" s="288"/>
      <c r="M61" s="288"/>
      <c r="N61" s="288"/>
      <c r="O61" s="287"/>
      <c r="P61" s="287"/>
      <c r="Q61" s="288"/>
      <c r="R61" s="290"/>
      <c r="S61"/>
      <c r="T61"/>
      <c r="U61"/>
      <c r="V61"/>
    </row>
    <row r="62" spans="1:22">
      <c r="A62" s="285"/>
      <c r="B62" s="595"/>
      <c r="C62" s="596"/>
      <c r="D62" s="597"/>
      <c r="E62" s="597"/>
      <c r="F62" s="597"/>
      <c r="G62" s="597"/>
      <c r="H62" s="597"/>
      <c r="I62" s="597"/>
      <c r="J62" s="598"/>
      <c r="K62" s="596"/>
      <c r="L62" s="597"/>
      <c r="M62" s="597"/>
      <c r="N62" s="597"/>
      <c r="O62" s="596"/>
      <c r="P62" s="599"/>
      <c r="Q62" s="597"/>
      <c r="R62" s="600"/>
      <c r="S62"/>
      <c r="T62"/>
      <c r="U62"/>
      <c r="V62"/>
    </row>
    <row r="63" spans="1:22">
      <c r="A63" s="285"/>
      <c r="B63" s="264"/>
      <c r="C63" s="281"/>
      <c r="D63" s="282"/>
      <c r="E63" s="282"/>
      <c r="F63" s="282"/>
      <c r="G63" s="282"/>
      <c r="H63" s="282"/>
      <c r="I63" s="282"/>
      <c r="J63" s="283"/>
      <c r="K63" s="281"/>
      <c r="L63" s="282"/>
      <c r="M63" s="282"/>
      <c r="N63" s="282"/>
      <c r="O63" s="281"/>
      <c r="P63" s="281"/>
      <c r="Q63" s="282"/>
      <c r="R63" s="284"/>
      <c r="S63"/>
      <c r="T63"/>
      <c r="U63"/>
      <c r="V63"/>
    </row>
    <row r="64" spans="1:22">
      <c r="A64" s="285"/>
      <c r="B64" s="286"/>
      <c r="C64" s="287"/>
      <c r="D64" s="288"/>
      <c r="E64" s="288"/>
      <c r="F64" s="288"/>
      <c r="G64" s="288"/>
      <c r="H64" s="288"/>
      <c r="I64" s="288"/>
      <c r="J64" s="289"/>
      <c r="K64" s="287"/>
      <c r="L64" s="288"/>
      <c r="M64" s="288"/>
      <c r="N64" s="288"/>
      <c r="O64" s="287"/>
      <c r="P64" s="287"/>
      <c r="Q64" s="288"/>
      <c r="R64" s="290"/>
      <c r="S64"/>
      <c r="T64"/>
      <c r="U64"/>
      <c r="V64"/>
    </row>
    <row r="65" spans="1:22">
      <c r="A65" s="285"/>
      <c r="B65" s="595"/>
      <c r="C65" s="596"/>
      <c r="D65" s="597"/>
      <c r="E65" s="597"/>
      <c r="F65" s="597"/>
      <c r="G65" s="597"/>
      <c r="H65" s="597"/>
      <c r="I65" s="597"/>
      <c r="J65" s="598"/>
      <c r="K65" s="596"/>
      <c r="L65" s="597"/>
      <c r="M65" s="597"/>
      <c r="N65" s="597"/>
      <c r="O65" s="596"/>
      <c r="P65" s="599"/>
      <c r="Q65" s="597"/>
      <c r="R65" s="600"/>
      <c r="S65"/>
      <c r="T65"/>
      <c r="U65"/>
      <c r="V65"/>
    </row>
    <row r="66" spans="1:22">
      <c r="A66" s="285"/>
      <c r="B66" s="264"/>
      <c r="C66" s="281"/>
      <c r="D66" s="282"/>
      <c r="E66" s="282"/>
      <c r="F66" s="282"/>
      <c r="G66" s="282"/>
      <c r="H66" s="282"/>
      <c r="I66" s="282"/>
      <c r="J66" s="283"/>
      <c r="K66" s="281"/>
      <c r="L66" s="282"/>
      <c r="M66" s="282"/>
      <c r="N66" s="282"/>
      <c r="O66" s="281"/>
      <c r="P66" s="281"/>
      <c r="Q66" s="282"/>
      <c r="R66" s="284"/>
      <c r="S66"/>
      <c r="T66"/>
      <c r="U66"/>
      <c r="V66"/>
    </row>
    <row r="67" spans="1:22">
      <c r="A67" s="285"/>
      <c r="B67" s="286"/>
      <c r="C67" s="287"/>
      <c r="D67" s="288"/>
      <c r="E67" s="288"/>
      <c r="F67" s="288"/>
      <c r="G67" s="288"/>
      <c r="H67" s="288"/>
      <c r="I67" s="288"/>
      <c r="J67" s="289"/>
      <c r="K67" s="287"/>
      <c r="L67" s="288"/>
      <c r="M67" s="288"/>
      <c r="N67" s="288"/>
      <c r="O67" s="287"/>
      <c r="P67" s="287"/>
      <c r="Q67" s="288"/>
      <c r="R67" s="290"/>
      <c r="S67"/>
      <c r="T67"/>
      <c r="U67"/>
      <c r="V67"/>
    </row>
    <row r="68" spans="1:22">
      <c r="A68" s="285"/>
      <c r="B68" s="595"/>
      <c r="C68" s="596"/>
      <c r="D68" s="597"/>
      <c r="E68" s="597"/>
      <c r="F68" s="597"/>
      <c r="G68" s="597"/>
      <c r="H68" s="597"/>
      <c r="I68" s="597"/>
      <c r="J68" s="598"/>
      <c r="K68" s="596"/>
      <c r="L68" s="597"/>
      <c r="M68" s="597"/>
      <c r="N68" s="597"/>
      <c r="O68" s="596"/>
      <c r="P68" s="599"/>
      <c r="Q68" s="597"/>
      <c r="R68" s="600"/>
      <c r="S68"/>
      <c r="T68"/>
      <c r="U68"/>
      <c r="V68"/>
    </row>
    <row r="69" spans="1:22">
      <c r="A69" s="285"/>
      <c r="B69" s="264"/>
      <c r="C69" s="281"/>
      <c r="D69" s="282"/>
      <c r="E69" s="282"/>
      <c r="F69" s="282"/>
      <c r="G69" s="282"/>
      <c r="H69" s="282"/>
      <c r="I69" s="282"/>
      <c r="J69" s="283"/>
      <c r="K69" s="281"/>
      <c r="L69" s="282"/>
      <c r="M69" s="282"/>
      <c r="N69" s="282"/>
      <c r="O69" s="281"/>
      <c r="P69" s="281"/>
      <c r="Q69" s="282"/>
      <c r="R69" s="284"/>
      <c r="S69"/>
      <c r="T69"/>
      <c r="U69"/>
      <c r="V69"/>
    </row>
    <row r="70" spans="1:22">
      <c r="A70" s="285"/>
      <c r="B70" s="286"/>
      <c r="C70" s="287"/>
      <c r="D70" s="288"/>
      <c r="E70" s="288"/>
      <c r="F70" s="288"/>
      <c r="G70" s="288"/>
      <c r="H70" s="288"/>
      <c r="I70" s="288"/>
      <c r="J70" s="289"/>
      <c r="K70" s="287"/>
      <c r="L70" s="288"/>
      <c r="M70" s="288"/>
      <c r="N70" s="288"/>
      <c r="O70" s="287"/>
      <c r="P70" s="287"/>
      <c r="Q70" s="288"/>
      <c r="R70" s="290"/>
      <c r="S70"/>
      <c r="T70"/>
      <c r="U70"/>
      <c r="V70"/>
    </row>
    <row r="71" spans="1:22">
      <c r="A71" s="285"/>
      <c r="B71" s="595"/>
      <c r="C71" s="596"/>
      <c r="D71" s="597"/>
      <c r="E71" s="597"/>
      <c r="F71" s="597"/>
      <c r="G71" s="597"/>
      <c r="H71" s="597"/>
      <c r="I71" s="597"/>
      <c r="J71" s="598"/>
      <c r="K71" s="596"/>
      <c r="L71" s="597"/>
      <c r="M71" s="597"/>
      <c r="N71" s="597"/>
      <c r="O71" s="596"/>
      <c r="P71" s="599"/>
      <c r="Q71" s="597"/>
      <c r="R71" s="600"/>
      <c r="S71"/>
      <c r="T71"/>
      <c r="U71"/>
      <c r="V71"/>
    </row>
    <row r="72" spans="1:22">
      <c r="A72" s="285"/>
      <c r="B72" s="264"/>
      <c r="C72" s="281"/>
      <c r="D72" s="282"/>
      <c r="E72" s="282"/>
      <c r="F72" s="282"/>
      <c r="G72" s="282"/>
      <c r="H72" s="282"/>
      <c r="I72" s="282"/>
      <c r="J72" s="283"/>
      <c r="K72" s="281"/>
      <c r="L72" s="282"/>
      <c r="M72" s="282"/>
      <c r="N72" s="282"/>
      <c r="O72" s="281"/>
      <c r="P72" s="281"/>
      <c r="Q72" s="282"/>
      <c r="R72" s="284"/>
      <c r="S72"/>
      <c r="T72"/>
      <c r="U72"/>
      <c r="V72"/>
    </row>
    <row r="73" spans="1:22">
      <c r="A73" s="285"/>
      <c r="B73" s="286"/>
      <c r="C73" s="287"/>
      <c r="D73" s="288"/>
      <c r="E73" s="288"/>
      <c r="F73" s="288"/>
      <c r="G73" s="288"/>
      <c r="H73" s="288"/>
      <c r="I73" s="288"/>
      <c r="J73" s="289"/>
      <c r="K73" s="287"/>
      <c r="L73" s="288"/>
      <c r="M73" s="288"/>
      <c r="N73" s="288"/>
      <c r="O73" s="287"/>
      <c r="P73" s="287"/>
      <c r="Q73" s="288"/>
      <c r="R73" s="290"/>
      <c r="S73"/>
      <c r="T73"/>
      <c r="U73"/>
      <c r="V73"/>
    </row>
    <row r="74" spans="1:22">
      <c r="A74" s="285"/>
      <c r="B74" s="595"/>
      <c r="C74" s="596"/>
      <c r="D74" s="597"/>
      <c r="E74" s="597"/>
      <c r="F74" s="597"/>
      <c r="G74" s="597"/>
      <c r="H74" s="597"/>
      <c r="I74" s="597"/>
      <c r="J74" s="598"/>
      <c r="K74" s="596"/>
      <c r="L74" s="597"/>
      <c r="M74" s="597"/>
      <c r="N74" s="597"/>
      <c r="O74" s="596"/>
      <c r="P74" s="599"/>
      <c r="Q74" s="597"/>
      <c r="R74" s="600"/>
      <c r="S74"/>
      <c r="T74"/>
      <c r="U74"/>
      <c r="V74"/>
    </row>
    <row r="75" spans="1:22">
      <c r="A75" s="285"/>
      <c r="B75" s="264"/>
      <c r="C75" s="281"/>
      <c r="D75" s="282"/>
      <c r="E75" s="282"/>
      <c r="F75" s="282"/>
      <c r="G75" s="282"/>
      <c r="H75" s="282"/>
      <c r="I75" s="282"/>
      <c r="J75" s="283"/>
      <c r="K75" s="281"/>
      <c r="L75" s="282"/>
      <c r="M75" s="282"/>
      <c r="N75" s="282"/>
      <c r="O75" s="281"/>
      <c r="P75" s="281"/>
      <c r="Q75" s="282"/>
      <c r="R75" s="284"/>
      <c r="S75"/>
      <c r="T75"/>
      <c r="U75"/>
      <c r="V75"/>
    </row>
    <row r="76" spans="1:22">
      <c r="A76" s="285"/>
      <c r="B76" s="286"/>
      <c r="C76" s="287"/>
      <c r="D76" s="288"/>
      <c r="E76" s="288"/>
      <c r="F76" s="288"/>
      <c r="G76" s="288"/>
      <c r="H76" s="288"/>
      <c r="I76" s="288"/>
      <c r="J76" s="289"/>
      <c r="K76" s="287"/>
      <c r="L76" s="288"/>
      <c r="M76" s="288"/>
      <c r="N76" s="288"/>
      <c r="O76" s="287"/>
      <c r="P76" s="287"/>
      <c r="Q76" s="288"/>
      <c r="R76" s="290"/>
      <c r="S76"/>
      <c r="T76"/>
      <c r="U76"/>
      <c r="V76"/>
    </row>
    <row r="77" spans="1:22">
      <c r="A77" s="292"/>
      <c r="B77" s="595"/>
      <c r="C77" s="596"/>
      <c r="D77" s="597"/>
      <c r="E77" s="597"/>
      <c r="F77" s="597"/>
      <c r="G77" s="597"/>
      <c r="H77" s="597"/>
      <c r="I77" s="597"/>
      <c r="J77" s="598"/>
      <c r="K77" s="596"/>
      <c r="L77" s="597"/>
      <c r="M77" s="597"/>
      <c r="N77" s="597"/>
      <c r="O77" s="596"/>
      <c r="P77" s="599"/>
      <c r="Q77" s="597"/>
      <c r="R77" s="600"/>
      <c r="S77"/>
      <c r="T77"/>
      <c r="U77"/>
      <c r="V77"/>
    </row>
    <row r="78" spans="1:22">
      <c r="A78" s="280"/>
      <c r="B78" s="264"/>
      <c r="C78" s="281"/>
      <c r="D78" s="282"/>
      <c r="E78" s="282"/>
      <c r="F78" s="282"/>
      <c r="G78" s="282"/>
      <c r="H78" s="282"/>
      <c r="I78" s="282"/>
      <c r="J78" s="283"/>
      <c r="K78" s="281"/>
      <c r="L78" s="282"/>
      <c r="M78" s="282"/>
      <c r="N78" s="282"/>
      <c r="O78" s="281"/>
      <c r="P78" s="281"/>
      <c r="Q78" s="282"/>
      <c r="R78" s="284"/>
      <c r="S78"/>
      <c r="T78"/>
      <c r="U78"/>
      <c r="V78"/>
    </row>
    <row r="79" spans="1:22">
      <c r="A79" s="285"/>
      <c r="B79" s="286"/>
      <c r="C79" s="287"/>
      <c r="D79" s="288"/>
      <c r="E79" s="288"/>
      <c r="F79" s="288"/>
      <c r="G79" s="288"/>
      <c r="H79" s="288"/>
      <c r="I79" s="288"/>
      <c r="J79" s="289"/>
      <c r="K79" s="287"/>
      <c r="L79" s="288"/>
      <c r="M79" s="288"/>
      <c r="N79" s="288"/>
      <c r="O79" s="287"/>
      <c r="P79" s="287"/>
      <c r="Q79" s="288"/>
      <c r="R79" s="290"/>
      <c r="S79"/>
      <c r="T79"/>
      <c r="U79"/>
      <c r="V79"/>
    </row>
    <row r="80" spans="1:22">
      <c r="A80" s="285"/>
      <c r="B80" s="595"/>
      <c r="C80" s="596"/>
      <c r="D80" s="597"/>
      <c r="E80" s="597"/>
      <c r="F80" s="597"/>
      <c r="G80" s="597"/>
      <c r="H80" s="597"/>
      <c r="I80" s="597"/>
      <c r="J80" s="598"/>
      <c r="K80" s="596"/>
      <c r="L80" s="597"/>
      <c r="M80" s="597"/>
      <c r="N80" s="597"/>
      <c r="O80" s="596"/>
      <c r="P80" s="599"/>
      <c r="Q80" s="597"/>
      <c r="R80" s="600"/>
      <c r="S80"/>
      <c r="T80"/>
      <c r="U80"/>
      <c r="V80"/>
    </row>
    <row r="81" spans="1:22">
      <c r="A81" s="285"/>
      <c r="B81" s="264"/>
      <c r="C81" s="281"/>
      <c r="D81" s="282"/>
      <c r="E81" s="282"/>
      <c r="F81" s="282"/>
      <c r="G81" s="282"/>
      <c r="H81" s="282"/>
      <c r="I81" s="282"/>
      <c r="J81" s="283"/>
      <c r="K81" s="281"/>
      <c r="L81" s="282"/>
      <c r="M81" s="282"/>
      <c r="N81" s="282"/>
      <c r="O81" s="281"/>
      <c r="P81" s="281"/>
      <c r="Q81" s="282"/>
      <c r="R81" s="284"/>
      <c r="S81"/>
      <c r="T81"/>
      <c r="U81"/>
      <c r="V81"/>
    </row>
    <row r="82" spans="1:22">
      <c r="A82" s="285"/>
      <c r="B82" s="286"/>
      <c r="C82" s="287"/>
      <c r="D82" s="288"/>
      <c r="E82" s="288"/>
      <c r="F82" s="288"/>
      <c r="G82" s="288"/>
      <c r="H82" s="288"/>
      <c r="I82" s="288"/>
      <c r="J82" s="289"/>
      <c r="K82" s="287"/>
      <c r="L82" s="288"/>
      <c r="M82" s="288"/>
      <c r="N82" s="288"/>
      <c r="O82" s="287"/>
      <c r="P82" s="287"/>
      <c r="Q82" s="288"/>
      <c r="R82" s="290"/>
      <c r="S82"/>
      <c r="T82"/>
      <c r="U82"/>
      <c r="V82"/>
    </row>
    <row r="83" spans="1:22">
      <c r="A83" s="285"/>
      <c r="B83" s="595"/>
      <c r="C83" s="596"/>
      <c r="D83" s="597"/>
      <c r="E83" s="597"/>
      <c r="F83" s="597"/>
      <c r="G83" s="597"/>
      <c r="H83" s="597"/>
      <c r="I83" s="597"/>
      <c r="J83" s="598"/>
      <c r="K83" s="596"/>
      <c r="L83" s="597"/>
      <c r="M83" s="597"/>
      <c r="N83" s="597"/>
      <c r="O83" s="596"/>
      <c r="P83" s="599"/>
      <c r="Q83" s="597"/>
      <c r="R83" s="600"/>
      <c r="S83"/>
      <c r="T83"/>
      <c r="U83"/>
      <c r="V83"/>
    </row>
    <row r="84" spans="1:22">
      <c r="A84" s="285"/>
      <c r="B84" s="264"/>
      <c r="C84" s="281"/>
      <c r="D84" s="282"/>
      <c r="E84" s="282"/>
      <c r="F84" s="282"/>
      <c r="G84" s="282"/>
      <c r="H84" s="282"/>
      <c r="I84" s="282"/>
      <c r="J84" s="283"/>
      <c r="K84" s="281"/>
      <c r="L84" s="282"/>
      <c r="M84" s="282"/>
      <c r="N84" s="282"/>
      <c r="O84" s="281"/>
      <c r="P84" s="281"/>
      <c r="Q84" s="282"/>
      <c r="R84" s="284"/>
      <c r="S84"/>
      <c r="T84"/>
      <c r="U84"/>
      <c r="V84"/>
    </row>
    <row r="85" spans="1:22">
      <c r="A85" s="285"/>
      <c r="B85" s="286"/>
      <c r="C85" s="287"/>
      <c r="D85" s="288"/>
      <c r="E85" s="288"/>
      <c r="F85" s="288"/>
      <c r="G85" s="288"/>
      <c r="H85" s="288"/>
      <c r="I85" s="288"/>
      <c r="J85" s="289"/>
      <c r="K85" s="287"/>
      <c r="L85" s="288"/>
      <c r="M85" s="288"/>
      <c r="N85" s="288"/>
      <c r="O85" s="287"/>
      <c r="P85" s="287"/>
      <c r="Q85" s="288"/>
      <c r="R85" s="290"/>
      <c r="S85"/>
      <c r="T85"/>
      <c r="U85"/>
      <c r="V85"/>
    </row>
    <row r="86" spans="1:22">
      <c r="A86" s="285"/>
      <c r="B86" s="595"/>
      <c r="C86" s="596"/>
      <c r="D86" s="597"/>
      <c r="E86" s="597"/>
      <c r="F86" s="597"/>
      <c r="G86" s="597"/>
      <c r="H86" s="597"/>
      <c r="I86" s="597"/>
      <c r="J86" s="598"/>
      <c r="K86" s="596"/>
      <c r="L86" s="597"/>
      <c r="M86" s="597"/>
      <c r="N86" s="597"/>
      <c r="O86" s="596"/>
      <c r="P86" s="599"/>
      <c r="Q86" s="597"/>
      <c r="R86" s="600"/>
      <c r="S86"/>
      <c r="T86"/>
      <c r="U86"/>
      <c r="V86"/>
    </row>
    <row r="87" spans="1:22">
      <c r="A87" s="285"/>
      <c r="B87" s="264"/>
      <c r="C87" s="281"/>
      <c r="D87" s="282"/>
      <c r="E87" s="282"/>
      <c r="F87" s="282"/>
      <c r="G87" s="282"/>
      <c r="H87" s="282"/>
      <c r="I87" s="282"/>
      <c r="J87" s="283"/>
      <c r="K87" s="281"/>
      <c r="L87" s="282"/>
      <c r="M87" s="282"/>
      <c r="N87" s="282"/>
      <c r="O87" s="281"/>
      <c r="P87" s="281"/>
      <c r="Q87" s="282"/>
      <c r="R87" s="284"/>
      <c r="S87"/>
      <c r="T87"/>
      <c r="U87"/>
      <c r="V87"/>
    </row>
    <row r="88" spans="1:22">
      <c r="A88" s="285"/>
      <c r="B88" s="286"/>
      <c r="C88" s="287"/>
      <c r="D88" s="288"/>
      <c r="E88" s="288"/>
      <c r="F88" s="288"/>
      <c r="G88" s="288"/>
      <c r="H88" s="288"/>
      <c r="I88" s="288"/>
      <c r="J88" s="289"/>
      <c r="K88" s="287"/>
      <c r="L88" s="288"/>
      <c r="M88" s="288"/>
      <c r="N88" s="288"/>
      <c r="O88" s="287"/>
      <c r="P88" s="287"/>
      <c r="Q88" s="288"/>
      <c r="R88" s="290"/>
      <c r="S88"/>
      <c r="T88"/>
      <c r="U88"/>
      <c r="V88"/>
    </row>
    <row r="89" spans="1:22">
      <c r="A89" s="285"/>
      <c r="B89" s="595"/>
      <c r="C89" s="596"/>
      <c r="D89" s="597"/>
      <c r="E89" s="597"/>
      <c r="F89" s="597"/>
      <c r="G89" s="597"/>
      <c r="H89" s="597"/>
      <c r="I89" s="597"/>
      <c r="J89" s="598"/>
      <c r="K89" s="596"/>
      <c r="L89" s="597"/>
      <c r="M89" s="597"/>
      <c r="N89" s="597"/>
      <c r="O89" s="596"/>
      <c r="P89" s="599"/>
      <c r="Q89" s="597"/>
      <c r="R89" s="600"/>
      <c r="S89"/>
      <c r="T89"/>
      <c r="U89"/>
      <c r="V89"/>
    </row>
    <row r="90" spans="1:22">
      <c r="A90" s="285"/>
      <c r="B90" s="264"/>
      <c r="C90" s="281"/>
      <c r="D90" s="282"/>
      <c r="E90" s="282"/>
      <c r="F90" s="282"/>
      <c r="G90" s="282"/>
      <c r="H90" s="282"/>
      <c r="I90" s="282"/>
      <c r="J90" s="283"/>
      <c r="K90" s="281"/>
      <c r="L90" s="282"/>
      <c r="M90" s="282"/>
      <c r="N90" s="282"/>
      <c r="O90" s="281"/>
      <c r="P90" s="281"/>
      <c r="Q90" s="282"/>
      <c r="R90" s="284"/>
      <c r="S90"/>
      <c r="T90"/>
      <c r="U90"/>
      <c r="V90"/>
    </row>
    <row r="91" spans="1:22">
      <c r="A91" s="285"/>
      <c r="B91" s="286"/>
      <c r="C91" s="287"/>
      <c r="D91" s="288"/>
      <c r="E91" s="288"/>
      <c r="F91" s="288"/>
      <c r="G91" s="288"/>
      <c r="H91" s="288"/>
      <c r="I91" s="288"/>
      <c r="J91" s="289"/>
      <c r="K91" s="287"/>
      <c r="L91" s="288"/>
      <c r="M91" s="288"/>
      <c r="N91" s="288"/>
      <c r="O91" s="287"/>
      <c r="P91" s="287"/>
      <c r="Q91" s="288"/>
      <c r="R91" s="290"/>
      <c r="S91"/>
      <c r="T91"/>
      <c r="U91"/>
      <c r="V91"/>
    </row>
    <row r="92" spans="1:22">
      <c r="A92" s="285"/>
      <c r="B92" s="595"/>
      <c r="C92" s="596"/>
      <c r="D92" s="597"/>
      <c r="E92" s="597"/>
      <c r="F92" s="597"/>
      <c r="G92" s="597"/>
      <c r="H92" s="597"/>
      <c r="I92" s="597"/>
      <c r="J92" s="598"/>
      <c r="K92" s="596"/>
      <c r="L92" s="597"/>
      <c r="M92" s="597"/>
      <c r="N92" s="597"/>
      <c r="O92" s="596"/>
      <c r="P92" s="599"/>
      <c r="Q92" s="597"/>
      <c r="R92" s="600"/>
      <c r="S92"/>
      <c r="T92"/>
      <c r="U92"/>
      <c r="V92"/>
    </row>
    <row r="93" spans="1:22">
      <c r="A93" s="285"/>
      <c r="B93" s="264"/>
      <c r="C93" s="281"/>
      <c r="D93" s="282"/>
      <c r="E93" s="282"/>
      <c r="F93" s="282"/>
      <c r="G93" s="282"/>
      <c r="H93" s="282"/>
      <c r="I93" s="282"/>
      <c r="J93" s="283"/>
      <c r="K93" s="281"/>
      <c r="L93" s="282"/>
      <c r="M93" s="282"/>
      <c r="N93" s="282"/>
      <c r="O93" s="281"/>
      <c r="P93" s="281"/>
      <c r="Q93" s="282"/>
      <c r="R93" s="284"/>
      <c r="S93"/>
      <c r="T93"/>
      <c r="U93"/>
      <c r="V93"/>
    </row>
    <row r="94" spans="1:22">
      <c r="A94" s="285"/>
      <c r="B94" s="286"/>
      <c r="C94" s="287"/>
      <c r="D94" s="288"/>
      <c r="E94" s="288"/>
      <c r="F94" s="288"/>
      <c r="G94" s="288"/>
      <c r="H94" s="288"/>
      <c r="I94" s="288"/>
      <c r="J94" s="289"/>
      <c r="K94" s="287"/>
      <c r="L94" s="288"/>
      <c r="M94" s="288"/>
      <c r="N94" s="288"/>
      <c r="O94" s="287"/>
      <c r="P94" s="287"/>
      <c r="Q94" s="288"/>
      <c r="R94" s="290"/>
      <c r="S94"/>
      <c r="T94"/>
      <c r="U94"/>
      <c r="V94"/>
    </row>
    <row r="95" spans="1:22">
      <c r="A95" s="285"/>
      <c r="B95" s="595"/>
      <c r="C95" s="596"/>
      <c r="D95" s="597"/>
      <c r="E95" s="597"/>
      <c r="F95" s="597"/>
      <c r="G95" s="597"/>
      <c r="H95" s="597"/>
      <c r="I95" s="597"/>
      <c r="J95" s="598"/>
      <c r="K95" s="596"/>
      <c r="L95" s="597"/>
      <c r="M95" s="597"/>
      <c r="N95" s="597"/>
      <c r="O95" s="596"/>
      <c r="P95" s="599"/>
      <c r="Q95" s="597"/>
      <c r="R95" s="600"/>
      <c r="S95"/>
      <c r="T95"/>
      <c r="U95"/>
      <c r="V95"/>
    </row>
    <row r="96" spans="1:22">
      <c r="A96" s="285"/>
      <c r="B96" s="264"/>
      <c r="C96" s="281"/>
      <c r="D96" s="282"/>
      <c r="E96" s="282"/>
      <c r="F96" s="282"/>
      <c r="G96" s="282"/>
      <c r="H96" s="282"/>
      <c r="I96" s="282"/>
      <c r="J96" s="283"/>
      <c r="K96" s="281"/>
      <c r="L96" s="282"/>
      <c r="M96" s="282"/>
      <c r="N96" s="282"/>
      <c r="O96" s="281"/>
      <c r="P96" s="281"/>
      <c r="Q96" s="282"/>
      <c r="R96" s="284"/>
      <c r="S96"/>
      <c r="T96"/>
      <c r="U96"/>
      <c r="V96"/>
    </row>
    <row r="97" spans="1:22">
      <c r="A97" s="285"/>
      <c r="B97" s="286"/>
      <c r="C97" s="287"/>
      <c r="D97" s="288"/>
      <c r="E97" s="288"/>
      <c r="F97" s="288"/>
      <c r="G97" s="288"/>
      <c r="H97" s="288"/>
      <c r="I97" s="288"/>
      <c r="J97" s="289"/>
      <c r="K97" s="287"/>
      <c r="L97" s="288"/>
      <c r="M97" s="288"/>
      <c r="N97" s="288"/>
      <c r="O97" s="287"/>
      <c r="P97" s="287"/>
      <c r="Q97" s="288"/>
      <c r="R97" s="290"/>
      <c r="S97"/>
      <c r="T97"/>
      <c r="U97"/>
      <c r="V97"/>
    </row>
    <row r="98" spans="1:22">
      <c r="A98" s="285"/>
      <c r="B98" s="595"/>
      <c r="C98" s="596"/>
      <c r="D98" s="597"/>
      <c r="E98" s="597"/>
      <c r="F98" s="597"/>
      <c r="G98" s="597"/>
      <c r="H98" s="597"/>
      <c r="I98" s="597"/>
      <c r="J98" s="598"/>
      <c r="K98" s="596"/>
      <c r="L98" s="597"/>
      <c r="M98" s="597"/>
      <c r="N98" s="597"/>
      <c r="O98" s="596"/>
      <c r="P98" s="599"/>
      <c r="Q98" s="597"/>
      <c r="R98" s="600"/>
      <c r="S98"/>
      <c r="T98"/>
      <c r="U98"/>
      <c r="V98"/>
    </row>
    <row r="99" spans="1:22">
      <c r="A99" s="285"/>
      <c r="B99" s="264"/>
      <c r="C99" s="281"/>
      <c r="D99" s="282"/>
      <c r="E99" s="282"/>
      <c r="F99" s="282"/>
      <c r="G99" s="282"/>
      <c r="H99" s="282"/>
      <c r="I99" s="282"/>
      <c r="J99" s="283"/>
      <c r="K99" s="281"/>
      <c r="L99" s="282"/>
      <c r="M99" s="282"/>
      <c r="N99" s="282"/>
      <c r="O99" s="281"/>
      <c r="P99" s="281"/>
      <c r="Q99" s="282"/>
      <c r="R99" s="284"/>
      <c r="S99"/>
      <c r="T99"/>
      <c r="U99"/>
      <c r="V99"/>
    </row>
    <row r="100" spans="1:22">
      <c r="A100" s="285"/>
      <c r="B100" s="286"/>
      <c r="C100" s="287"/>
      <c r="D100" s="288"/>
      <c r="E100" s="288"/>
      <c r="F100" s="288"/>
      <c r="G100" s="288"/>
      <c r="H100" s="288"/>
      <c r="I100" s="288"/>
      <c r="J100" s="289"/>
      <c r="K100" s="287"/>
      <c r="L100" s="288"/>
      <c r="M100" s="288"/>
      <c r="N100" s="288"/>
      <c r="O100" s="287"/>
      <c r="P100" s="287"/>
      <c r="Q100" s="288"/>
      <c r="R100" s="290"/>
      <c r="S100"/>
      <c r="T100"/>
      <c r="U100"/>
      <c r="V100"/>
    </row>
    <row r="101" spans="1:22">
      <c r="A101" s="285"/>
      <c r="B101" s="595"/>
      <c r="C101" s="596"/>
      <c r="D101" s="597"/>
      <c r="E101" s="597"/>
      <c r="F101" s="597"/>
      <c r="G101" s="597"/>
      <c r="H101" s="597"/>
      <c r="I101" s="597"/>
      <c r="J101" s="598"/>
      <c r="K101" s="596"/>
      <c r="L101" s="597"/>
      <c r="M101" s="597"/>
      <c r="N101" s="597"/>
      <c r="O101" s="596"/>
      <c r="P101" s="599"/>
      <c r="Q101" s="597"/>
      <c r="R101" s="600"/>
      <c r="S101"/>
      <c r="T101"/>
      <c r="U101"/>
      <c r="V101"/>
    </row>
    <row r="102" spans="1:22">
      <c r="A102" s="285"/>
      <c r="B102" s="264"/>
      <c r="C102" s="281"/>
      <c r="D102" s="282"/>
      <c r="E102" s="282"/>
      <c r="F102" s="282"/>
      <c r="G102" s="282"/>
      <c r="H102" s="282"/>
      <c r="I102" s="282"/>
      <c r="J102" s="283"/>
      <c r="K102" s="281"/>
      <c r="L102" s="282"/>
      <c r="M102" s="282"/>
      <c r="N102" s="282"/>
      <c r="O102" s="281"/>
      <c r="P102" s="281"/>
      <c r="Q102" s="282"/>
      <c r="R102" s="284"/>
      <c r="S102"/>
      <c r="T102"/>
      <c r="U102"/>
      <c r="V102"/>
    </row>
    <row r="103" spans="1:22">
      <c r="A103" s="285"/>
      <c r="B103" s="286"/>
      <c r="C103" s="287"/>
      <c r="D103" s="288"/>
      <c r="E103" s="288"/>
      <c r="F103" s="288"/>
      <c r="G103" s="288"/>
      <c r="H103" s="288"/>
      <c r="I103" s="288"/>
      <c r="J103" s="289"/>
      <c r="K103" s="287"/>
      <c r="L103" s="288"/>
      <c r="M103" s="288"/>
      <c r="N103" s="288"/>
      <c r="O103" s="287"/>
      <c r="P103" s="287"/>
      <c r="Q103" s="288"/>
      <c r="R103" s="290"/>
      <c r="S103"/>
      <c r="T103"/>
      <c r="U103"/>
      <c r="V103"/>
    </row>
    <row r="104" spans="1:22">
      <c r="A104" s="285"/>
      <c r="B104" s="595"/>
      <c r="C104" s="596"/>
      <c r="D104" s="597"/>
      <c r="E104" s="597"/>
      <c r="F104" s="597"/>
      <c r="G104" s="597"/>
      <c r="H104" s="597"/>
      <c r="I104" s="597"/>
      <c r="J104" s="598"/>
      <c r="K104" s="596"/>
      <c r="L104" s="597"/>
      <c r="M104" s="597"/>
      <c r="N104" s="597"/>
      <c r="O104" s="596"/>
      <c r="P104" s="599"/>
      <c r="Q104" s="597"/>
      <c r="R104" s="600"/>
      <c r="S104"/>
      <c r="T104"/>
      <c r="U104"/>
      <c r="V104"/>
    </row>
    <row r="105" spans="1:22">
      <c r="A105" s="285"/>
      <c r="B105" s="264"/>
      <c r="C105" s="281"/>
      <c r="D105" s="282"/>
      <c r="E105" s="282"/>
      <c r="F105" s="282"/>
      <c r="G105" s="282"/>
      <c r="H105" s="282"/>
      <c r="I105" s="282"/>
      <c r="J105" s="283"/>
      <c r="K105" s="281"/>
      <c r="L105" s="282"/>
      <c r="M105" s="282"/>
      <c r="N105" s="282"/>
      <c r="O105" s="281"/>
      <c r="P105" s="281"/>
      <c r="Q105" s="282"/>
      <c r="R105" s="284"/>
      <c r="S105"/>
      <c r="T105"/>
      <c r="U105"/>
      <c r="V105"/>
    </row>
    <row r="106" spans="1:22">
      <c r="A106" s="285"/>
      <c r="B106" s="286"/>
      <c r="C106" s="287"/>
      <c r="D106" s="288"/>
      <c r="E106" s="288"/>
      <c r="F106" s="288"/>
      <c r="G106" s="288"/>
      <c r="H106" s="288"/>
      <c r="I106" s="288"/>
      <c r="J106" s="289"/>
      <c r="K106" s="287"/>
      <c r="L106" s="288"/>
      <c r="M106" s="288"/>
      <c r="N106" s="288"/>
      <c r="O106" s="287"/>
      <c r="P106" s="287"/>
      <c r="Q106" s="288"/>
      <c r="R106" s="290"/>
      <c r="S106"/>
      <c r="T106"/>
      <c r="U106"/>
      <c r="V106"/>
    </row>
    <row r="107" spans="1:22">
      <c r="A107" s="285"/>
      <c r="B107" s="595"/>
      <c r="C107" s="596"/>
      <c r="D107" s="597"/>
      <c r="E107" s="597"/>
      <c r="F107" s="597"/>
      <c r="G107" s="597"/>
      <c r="H107" s="597"/>
      <c r="I107" s="597"/>
      <c r="J107" s="598"/>
      <c r="K107" s="596"/>
      <c r="L107" s="597"/>
      <c r="M107" s="597"/>
      <c r="N107" s="597"/>
      <c r="O107" s="596"/>
      <c r="P107" s="599"/>
      <c r="Q107" s="597"/>
      <c r="R107" s="600"/>
      <c r="S107"/>
      <c r="T107"/>
      <c r="U107"/>
      <c r="V107"/>
    </row>
    <row r="108" spans="1:22">
      <c r="A108" s="285"/>
      <c r="B108" s="264"/>
      <c r="C108" s="281"/>
      <c r="D108" s="282"/>
      <c r="E108" s="282"/>
      <c r="F108" s="282"/>
      <c r="G108" s="282"/>
      <c r="H108" s="282"/>
      <c r="I108" s="282"/>
      <c r="J108" s="283"/>
      <c r="K108" s="281"/>
      <c r="L108" s="282"/>
      <c r="M108" s="282"/>
      <c r="N108" s="282"/>
      <c r="O108" s="281"/>
      <c r="P108" s="281"/>
      <c r="Q108" s="282"/>
      <c r="R108" s="284"/>
      <c r="S108"/>
      <c r="T108"/>
      <c r="U108"/>
      <c r="V108"/>
    </row>
    <row r="109" spans="1:22">
      <c r="A109" s="285"/>
      <c r="B109" s="286"/>
      <c r="C109" s="287"/>
      <c r="D109" s="288"/>
      <c r="E109" s="288"/>
      <c r="F109" s="288"/>
      <c r="G109" s="288"/>
      <c r="H109" s="288"/>
      <c r="I109" s="288"/>
      <c r="J109" s="289"/>
      <c r="K109" s="287"/>
      <c r="L109" s="288"/>
      <c r="M109" s="288"/>
      <c r="N109" s="288"/>
      <c r="O109" s="287"/>
      <c r="P109" s="287"/>
      <c r="Q109" s="288"/>
      <c r="R109" s="290"/>
      <c r="S109"/>
      <c r="T109"/>
      <c r="U109"/>
      <c r="V109"/>
    </row>
    <row r="110" spans="1:22">
      <c r="A110" s="285"/>
      <c r="B110" s="595"/>
      <c r="C110" s="596"/>
      <c r="D110" s="597"/>
      <c r="E110" s="597"/>
      <c r="F110" s="597"/>
      <c r="G110" s="597"/>
      <c r="H110" s="597"/>
      <c r="I110" s="597"/>
      <c r="J110" s="598"/>
      <c r="K110" s="596"/>
      <c r="L110" s="597"/>
      <c r="M110" s="597"/>
      <c r="N110" s="597"/>
      <c r="O110" s="596"/>
      <c r="P110" s="599"/>
      <c r="Q110" s="597"/>
      <c r="R110" s="600"/>
      <c r="S110"/>
      <c r="T110"/>
      <c r="U110"/>
      <c r="V110"/>
    </row>
    <row r="111" spans="1:22">
      <c r="A111" s="285"/>
      <c r="B111" s="264"/>
      <c r="C111" s="281"/>
      <c r="D111" s="282"/>
      <c r="E111" s="282"/>
      <c r="F111" s="282"/>
      <c r="G111" s="282"/>
      <c r="H111" s="282"/>
      <c r="I111" s="282"/>
      <c r="J111" s="283"/>
      <c r="K111" s="281"/>
      <c r="L111" s="282"/>
      <c r="M111" s="282"/>
      <c r="N111" s="282"/>
      <c r="O111" s="281"/>
      <c r="P111" s="281"/>
      <c r="Q111" s="282"/>
      <c r="R111" s="284"/>
      <c r="S111"/>
      <c r="T111"/>
      <c r="U111"/>
      <c r="V111"/>
    </row>
    <row r="112" spans="1:22">
      <c r="A112" s="285"/>
      <c r="B112" s="286"/>
      <c r="C112" s="287"/>
      <c r="D112" s="288"/>
      <c r="E112" s="288"/>
      <c r="F112" s="288"/>
      <c r="G112" s="288"/>
      <c r="H112" s="288"/>
      <c r="I112" s="288"/>
      <c r="J112" s="289"/>
      <c r="K112" s="287"/>
      <c r="L112" s="288"/>
      <c r="M112" s="288"/>
      <c r="N112" s="288"/>
      <c r="O112" s="287"/>
      <c r="P112" s="287"/>
      <c r="Q112" s="288"/>
      <c r="R112" s="290"/>
      <c r="S112"/>
      <c r="T112"/>
      <c r="U112"/>
      <c r="V112"/>
    </row>
    <row r="113" spans="1:22">
      <c r="A113" s="292"/>
      <c r="B113" s="595"/>
      <c r="C113" s="596"/>
      <c r="D113" s="597"/>
      <c r="E113" s="597"/>
      <c r="F113" s="597"/>
      <c r="G113" s="597"/>
      <c r="H113" s="597"/>
      <c r="I113" s="597"/>
      <c r="J113" s="598"/>
      <c r="K113" s="596"/>
      <c r="L113" s="597"/>
      <c r="M113" s="597"/>
      <c r="N113" s="597"/>
      <c r="O113" s="596"/>
      <c r="P113" s="599"/>
      <c r="Q113" s="597"/>
      <c r="R113" s="600"/>
      <c r="S113"/>
      <c r="T113"/>
      <c r="U113"/>
      <c r="V113"/>
    </row>
    <row r="114" spans="1:22">
      <c r="A114" s="280"/>
      <c r="B114" s="264"/>
      <c r="C114" s="281"/>
      <c r="D114" s="282"/>
      <c r="E114" s="282"/>
      <c r="F114" s="282"/>
      <c r="G114" s="282"/>
      <c r="H114" s="282"/>
      <c r="I114" s="282"/>
      <c r="J114" s="283"/>
      <c r="K114" s="281"/>
      <c r="L114" s="282"/>
      <c r="M114" s="282"/>
      <c r="N114" s="282"/>
      <c r="O114" s="281"/>
      <c r="P114" s="281"/>
      <c r="Q114" s="282"/>
      <c r="R114" s="284"/>
      <c r="S114"/>
      <c r="T114"/>
      <c r="U114"/>
      <c r="V114"/>
    </row>
    <row r="115" spans="1:22">
      <c r="A115" s="285"/>
      <c r="B115" s="286"/>
      <c r="C115" s="287"/>
      <c r="D115" s="288"/>
      <c r="E115" s="288"/>
      <c r="F115" s="288"/>
      <c r="G115" s="288"/>
      <c r="H115" s="288"/>
      <c r="I115" s="288"/>
      <c r="J115" s="289"/>
      <c r="K115" s="287"/>
      <c r="L115" s="288"/>
      <c r="M115" s="288"/>
      <c r="N115" s="288"/>
      <c r="O115" s="287"/>
      <c r="P115" s="287"/>
      <c r="Q115" s="288"/>
      <c r="R115" s="290"/>
      <c r="S115"/>
      <c r="T115"/>
      <c r="U115"/>
      <c r="V115"/>
    </row>
    <row r="116" spans="1:22">
      <c r="A116" s="285"/>
      <c r="B116" s="595"/>
      <c r="C116" s="596"/>
      <c r="D116" s="597"/>
      <c r="E116" s="597"/>
      <c r="F116" s="597"/>
      <c r="G116" s="597"/>
      <c r="H116" s="597"/>
      <c r="I116" s="597"/>
      <c r="J116" s="598"/>
      <c r="K116" s="596"/>
      <c r="L116" s="597"/>
      <c r="M116" s="597"/>
      <c r="N116" s="597"/>
      <c r="O116" s="596"/>
      <c r="P116" s="599"/>
      <c r="Q116" s="597"/>
      <c r="R116" s="600"/>
      <c r="S116"/>
      <c r="T116"/>
      <c r="U116"/>
      <c r="V116"/>
    </row>
    <row r="117" spans="1:22">
      <c r="A117" s="285"/>
      <c r="B117" s="264"/>
      <c r="C117" s="281"/>
      <c r="D117" s="282"/>
      <c r="E117" s="282"/>
      <c r="F117" s="282"/>
      <c r="G117" s="282"/>
      <c r="H117" s="282"/>
      <c r="I117" s="282"/>
      <c r="J117" s="283"/>
      <c r="K117" s="281"/>
      <c r="L117" s="282"/>
      <c r="M117" s="282"/>
      <c r="N117" s="282"/>
      <c r="O117" s="281"/>
      <c r="P117" s="281"/>
      <c r="Q117" s="282"/>
      <c r="R117" s="284"/>
      <c r="S117"/>
      <c r="T117"/>
      <c r="U117"/>
      <c r="V117"/>
    </row>
    <row r="118" spans="1:22">
      <c r="A118" s="285"/>
      <c r="B118" s="286"/>
      <c r="C118" s="287"/>
      <c r="D118" s="288"/>
      <c r="E118" s="288"/>
      <c r="F118" s="288"/>
      <c r="G118" s="288"/>
      <c r="H118" s="288"/>
      <c r="I118" s="288"/>
      <c r="J118" s="289"/>
      <c r="K118" s="287"/>
      <c r="L118" s="288"/>
      <c r="M118" s="288"/>
      <c r="N118" s="288"/>
      <c r="O118" s="287"/>
      <c r="P118" s="287"/>
      <c r="Q118" s="288"/>
      <c r="R118" s="290"/>
      <c r="S118"/>
      <c r="T118"/>
      <c r="U118"/>
      <c r="V118"/>
    </row>
    <row r="119" spans="1:22">
      <c r="A119" s="285"/>
      <c r="B119" s="595"/>
      <c r="C119" s="596"/>
      <c r="D119" s="597"/>
      <c r="E119" s="597"/>
      <c r="F119" s="597"/>
      <c r="G119" s="597"/>
      <c r="H119" s="597"/>
      <c r="I119" s="597"/>
      <c r="J119" s="598"/>
      <c r="K119" s="596"/>
      <c r="L119" s="597"/>
      <c r="M119" s="597"/>
      <c r="N119" s="597"/>
      <c r="O119" s="596"/>
      <c r="P119" s="599"/>
      <c r="Q119" s="597"/>
      <c r="R119" s="600"/>
      <c r="S119"/>
      <c r="T119"/>
      <c r="U119"/>
      <c r="V119"/>
    </row>
    <row r="120" spans="1:22">
      <c r="A120" s="285"/>
      <c r="B120" s="264"/>
      <c r="C120" s="281"/>
      <c r="D120" s="282"/>
      <c r="E120" s="282"/>
      <c r="F120" s="282"/>
      <c r="G120" s="282"/>
      <c r="H120" s="282"/>
      <c r="I120" s="282"/>
      <c r="J120" s="283"/>
      <c r="K120" s="281"/>
      <c r="L120" s="282"/>
      <c r="M120" s="282"/>
      <c r="N120" s="282"/>
      <c r="O120" s="281"/>
      <c r="P120" s="281"/>
      <c r="Q120" s="282"/>
      <c r="R120" s="284"/>
      <c r="S120"/>
      <c r="T120"/>
      <c r="U120"/>
      <c r="V120"/>
    </row>
    <row r="121" spans="1:22">
      <c r="A121" s="285"/>
      <c r="B121" s="286"/>
      <c r="C121" s="287"/>
      <c r="D121" s="288"/>
      <c r="E121" s="288"/>
      <c r="F121" s="288"/>
      <c r="G121" s="288"/>
      <c r="H121" s="288"/>
      <c r="I121" s="288"/>
      <c r="J121" s="289"/>
      <c r="K121" s="287"/>
      <c r="L121" s="288"/>
      <c r="M121" s="288"/>
      <c r="N121" s="288"/>
      <c r="O121" s="287"/>
      <c r="P121" s="287"/>
      <c r="Q121" s="288"/>
      <c r="R121" s="290"/>
      <c r="S121"/>
      <c r="T121"/>
      <c r="U121"/>
      <c r="V121"/>
    </row>
    <row r="122" spans="1:22">
      <c r="A122" s="285"/>
      <c r="B122" s="595"/>
      <c r="C122" s="596"/>
      <c r="D122" s="597"/>
      <c r="E122" s="597"/>
      <c r="F122" s="597"/>
      <c r="G122" s="597"/>
      <c r="H122" s="597"/>
      <c r="I122" s="597"/>
      <c r="J122" s="598"/>
      <c r="K122" s="596"/>
      <c r="L122" s="597"/>
      <c r="M122" s="597"/>
      <c r="N122" s="597"/>
      <c r="O122" s="596"/>
      <c r="P122" s="599"/>
      <c r="Q122" s="597"/>
      <c r="R122" s="600"/>
      <c r="S122"/>
      <c r="T122"/>
      <c r="U122"/>
      <c r="V122"/>
    </row>
    <row r="123" spans="1:22">
      <c r="A123" s="285"/>
      <c r="B123" s="264"/>
      <c r="C123" s="281"/>
      <c r="D123" s="282"/>
      <c r="E123" s="282"/>
      <c r="F123" s="282"/>
      <c r="G123" s="282"/>
      <c r="H123" s="282"/>
      <c r="I123" s="282"/>
      <c r="J123" s="283"/>
      <c r="K123" s="281"/>
      <c r="L123" s="282"/>
      <c r="M123" s="282"/>
      <c r="N123" s="282"/>
      <c r="O123" s="281"/>
      <c r="P123" s="281"/>
      <c r="Q123" s="282"/>
      <c r="R123" s="284"/>
      <c r="S123"/>
      <c r="T123"/>
      <c r="U123"/>
      <c r="V123"/>
    </row>
    <row r="124" spans="1:22">
      <c r="A124" s="285"/>
      <c r="B124" s="286"/>
      <c r="C124" s="287"/>
      <c r="D124" s="288"/>
      <c r="E124" s="288"/>
      <c r="F124" s="288"/>
      <c r="G124" s="288"/>
      <c r="H124" s="288"/>
      <c r="I124" s="288"/>
      <c r="J124" s="289"/>
      <c r="K124" s="287"/>
      <c r="L124" s="288"/>
      <c r="M124" s="288"/>
      <c r="N124" s="288"/>
      <c r="O124" s="287"/>
      <c r="P124" s="287"/>
      <c r="Q124" s="288"/>
      <c r="R124" s="290"/>
      <c r="S124"/>
      <c r="T124"/>
      <c r="U124"/>
      <c r="V124"/>
    </row>
    <row r="125" spans="1:22">
      <c r="A125" s="285"/>
      <c r="B125" s="595"/>
      <c r="C125" s="596"/>
      <c r="D125" s="597"/>
      <c r="E125" s="597"/>
      <c r="F125" s="597"/>
      <c r="G125" s="597"/>
      <c r="H125" s="597"/>
      <c r="I125" s="597"/>
      <c r="J125" s="598"/>
      <c r="K125" s="596"/>
      <c r="L125" s="597"/>
      <c r="M125" s="597"/>
      <c r="N125" s="597"/>
      <c r="O125" s="596"/>
      <c r="P125" s="599"/>
      <c r="Q125" s="597"/>
      <c r="R125" s="600"/>
      <c r="S125"/>
      <c r="T125"/>
      <c r="U125"/>
      <c r="V125"/>
    </row>
    <row r="126" spans="1:22">
      <c r="A126" s="285"/>
      <c r="B126" s="264"/>
      <c r="C126" s="281"/>
      <c r="D126" s="282"/>
      <c r="E126" s="282"/>
      <c r="F126" s="282"/>
      <c r="G126" s="282"/>
      <c r="H126" s="282"/>
      <c r="I126" s="282"/>
      <c r="J126" s="283"/>
      <c r="K126" s="281"/>
      <c r="L126" s="282"/>
      <c r="M126" s="282"/>
      <c r="N126" s="282"/>
      <c r="O126" s="281"/>
      <c r="P126" s="281"/>
      <c r="Q126" s="282"/>
      <c r="R126" s="284"/>
      <c r="S126"/>
      <c r="T126"/>
      <c r="U126"/>
      <c r="V126"/>
    </row>
    <row r="127" spans="1:22">
      <c r="A127" s="285"/>
      <c r="B127" s="286"/>
      <c r="C127" s="287"/>
      <c r="D127" s="288"/>
      <c r="E127" s="288"/>
      <c r="F127" s="288"/>
      <c r="G127" s="288"/>
      <c r="H127" s="288"/>
      <c r="I127" s="288"/>
      <c r="J127" s="289"/>
      <c r="K127" s="287"/>
      <c r="L127" s="288"/>
      <c r="M127" s="288"/>
      <c r="N127" s="288"/>
      <c r="O127" s="287"/>
      <c r="P127" s="287"/>
      <c r="Q127" s="288"/>
      <c r="R127" s="290"/>
      <c r="S127"/>
      <c r="T127"/>
      <c r="U127"/>
      <c r="V127"/>
    </row>
    <row r="128" spans="1:22">
      <c r="A128" s="285"/>
      <c r="B128" s="595"/>
      <c r="C128" s="596"/>
      <c r="D128" s="597"/>
      <c r="E128" s="597"/>
      <c r="F128" s="597"/>
      <c r="G128" s="597"/>
      <c r="H128" s="597"/>
      <c r="I128" s="597"/>
      <c r="J128" s="598"/>
      <c r="K128" s="596"/>
      <c r="L128" s="597"/>
      <c r="M128" s="597"/>
      <c r="N128" s="597"/>
      <c r="O128" s="596"/>
      <c r="P128" s="599"/>
      <c r="Q128" s="597"/>
      <c r="R128" s="600"/>
      <c r="S128"/>
      <c r="T128"/>
      <c r="U128"/>
      <c r="V128"/>
    </row>
    <row r="129" spans="1:22">
      <c r="A129" s="285"/>
      <c r="B129" s="264"/>
      <c r="C129" s="281"/>
      <c r="D129" s="282"/>
      <c r="E129" s="282"/>
      <c r="F129" s="282"/>
      <c r="G129" s="282"/>
      <c r="H129" s="282"/>
      <c r="I129" s="282"/>
      <c r="J129" s="283"/>
      <c r="K129" s="281"/>
      <c r="L129" s="282"/>
      <c r="M129" s="282"/>
      <c r="N129" s="282"/>
      <c r="O129" s="281"/>
      <c r="P129" s="281"/>
      <c r="Q129" s="282"/>
      <c r="R129" s="284"/>
      <c r="S129"/>
      <c r="T129"/>
      <c r="U129"/>
      <c r="V129"/>
    </row>
    <row r="130" spans="1:22">
      <c r="A130" s="285"/>
      <c r="B130" s="286"/>
      <c r="C130" s="287"/>
      <c r="D130" s="288"/>
      <c r="E130" s="288"/>
      <c r="F130" s="288"/>
      <c r="G130" s="288"/>
      <c r="H130" s="288"/>
      <c r="I130" s="288"/>
      <c r="J130" s="289"/>
      <c r="K130" s="287"/>
      <c r="L130" s="288"/>
      <c r="M130" s="288"/>
      <c r="N130" s="288"/>
      <c r="O130" s="287"/>
      <c r="P130" s="287"/>
      <c r="Q130" s="288"/>
      <c r="R130" s="290"/>
      <c r="S130"/>
      <c r="T130"/>
      <c r="U130"/>
      <c r="V130"/>
    </row>
    <row r="131" spans="1:22">
      <c r="A131" s="285"/>
      <c r="B131" s="595"/>
      <c r="C131" s="596"/>
      <c r="D131" s="597"/>
      <c r="E131" s="597"/>
      <c r="F131" s="597"/>
      <c r="G131" s="597"/>
      <c r="H131" s="597"/>
      <c r="I131" s="597"/>
      <c r="J131" s="598"/>
      <c r="K131" s="596"/>
      <c r="L131" s="597"/>
      <c r="M131" s="597"/>
      <c r="N131" s="597"/>
      <c r="O131" s="596"/>
      <c r="P131" s="599"/>
      <c r="Q131" s="597"/>
      <c r="R131" s="600"/>
      <c r="S131"/>
      <c r="T131"/>
      <c r="U131"/>
      <c r="V131"/>
    </row>
    <row r="132" spans="1:22">
      <c r="A132" s="285"/>
      <c r="B132" s="264"/>
      <c r="C132" s="281"/>
      <c r="D132" s="282"/>
      <c r="E132" s="282"/>
      <c r="F132" s="282"/>
      <c r="G132" s="282"/>
      <c r="H132" s="282"/>
      <c r="I132" s="282"/>
      <c r="J132" s="283"/>
      <c r="K132" s="281"/>
      <c r="L132" s="282"/>
      <c r="M132" s="282"/>
      <c r="N132" s="282"/>
      <c r="O132" s="281"/>
      <c r="P132" s="281"/>
      <c r="Q132" s="282"/>
      <c r="R132" s="284"/>
      <c r="S132"/>
      <c r="T132"/>
      <c r="U132"/>
      <c r="V132"/>
    </row>
    <row r="133" spans="1:22">
      <c r="A133" s="285"/>
      <c r="B133" s="286"/>
      <c r="C133" s="287"/>
      <c r="D133" s="288"/>
      <c r="E133" s="288"/>
      <c r="F133" s="288"/>
      <c r="G133" s="288"/>
      <c r="H133" s="288"/>
      <c r="I133" s="288"/>
      <c r="J133" s="289"/>
      <c r="K133" s="287"/>
      <c r="L133" s="288"/>
      <c r="M133" s="288"/>
      <c r="N133" s="288"/>
      <c r="O133" s="287"/>
      <c r="P133" s="287"/>
      <c r="Q133" s="288"/>
      <c r="R133" s="290"/>
      <c r="S133"/>
      <c r="T133"/>
      <c r="U133"/>
      <c r="V133"/>
    </row>
    <row r="134" spans="1:22">
      <c r="A134" s="285"/>
      <c r="B134" s="595"/>
      <c r="C134" s="596"/>
      <c r="D134" s="597"/>
      <c r="E134" s="597"/>
      <c r="F134" s="597"/>
      <c r="G134" s="597"/>
      <c r="H134" s="597"/>
      <c r="I134" s="597"/>
      <c r="J134" s="598"/>
      <c r="K134" s="596"/>
      <c r="L134" s="597"/>
      <c r="M134" s="597"/>
      <c r="N134" s="597"/>
      <c r="O134" s="596"/>
      <c r="P134" s="599"/>
      <c r="Q134" s="597"/>
      <c r="R134" s="600"/>
      <c r="S134"/>
      <c r="T134"/>
      <c r="U134"/>
      <c r="V134"/>
    </row>
    <row r="135" spans="1:22">
      <c r="A135" s="285"/>
      <c r="B135" s="264"/>
      <c r="C135" s="281"/>
      <c r="D135" s="282"/>
      <c r="E135" s="282"/>
      <c r="F135" s="282"/>
      <c r="G135" s="282"/>
      <c r="H135" s="282"/>
      <c r="I135" s="282"/>
      <c r="J135" s="283"/>
      <c r="K135" s="281"/>
      <c r="L135" s="282"/>
      <c r="M135" s="282"/>
      <c r="N135" s="282"/>
      <c r="O135" s="281"/>
      <c r="P135" s="281"/>
      <c r="Q135" s="282"/>
      <c r="R135" s="284"/>
      <c r="S135"/>
      <c r="T135"/>
      <c r="U135"/>
      <c r="V135"/>
    </row>
    <row r="136" spans="1:22">
      <c r="A136" s="285"/>
      <c r="B136" s="286"/>
      <c r="C136" s="287"/>
      <c r="D136" s="288"/>
      <c r="E136" s="288"/>
      <c r="F136" s="288"/>
      <c r="G136" s="288"/>
      <c r="H136" s="288"/>
      <c r="I136" s="288"/>
      <c r="J136" s="289"/>
      <c r="K136" s="287"/>
      <c r="L136" s="288"/>
      <c r="M136" s="288"/>
      <c r="N136" s="288"/>
      <c r="O136" s="287"/>
      <c r="P136" s="287"/>
      <c r="Q136" s="288"/>
      <c r="R136" s="290"/>
      <c r="S136"/>
      <c r="T136"/>
      <c r="U136"/>
      <c r="V136"/>
    </row>
    <row r="137" spans="1:22">
      <c r="A137" s="285"/>
      <c r="B137" s="595"/>
      <c r="C137" s="596"/>
      <c r="D137" s="597"/>
      <c r="E137" s="597"/>
      <c r="F137" s="597"/>
      <c r="G137" s="597"/>
      <c r="H137" s="597"/>
      <c r="I137" s="597"/>
      <c r="J137" s="598"/>
      <c r="K137" s="596"/>
      <c r="L137" s="597"/>
      <c r="M137" s="597"/>
      <c r="N137" s="597"/>
      <c r="O137" s="596"/>
      <c r="P137" s="599"/>
      <c r="Q137" s="597"/>
      <c r="R137" s="600"/>
      <c r="S137"/>
      <c r="T137"/>
      <c r="U137"/>
      <c r="V137"/>
    </row>
    <row r="138" spans="1:22">
      <c r="A138" s="285"/>
      <c r="B138" s="264"/>
      <c r="C138" s="281"/>
      <c r="D138" s="282"/>
      <c r="E138" s="282"/>
      <c r="F138" s="282"/>
      <c r="G138" s="282"/>
      <c r="H138" s="282"/>
      <c r="I138" s="282"/>
      <c r="J138" s="283"/>
      <c r="K138" s="281"/>
      <c r="L138" s="282"/>
      <c r="M138" s="282"/>
      <c r="N138" s="282"/>
      <c r="O138" s="281"/>
      <c r="P138" s="281"/>
      <c r="Q138" s="282"/>
      <c r="R138" s="284"/>
      <c r="S138"/>
      <c r="T138"/>
      <c r="U138"/>
      <c r="V138"/>
    </row>
    <row r="139" spans="1:22">
      <c r="A139" s="285"/>
      <c r="B139" s="286"/>
      <c r="C139" s="287"/>
      <c r="D139" s="288"/>
      <c r="E139" s="288"/>
      <c r="F139" s="288"/>
      <c r="G139" s="288"/>
      <c r="H139" s="288"/>
      <c r="I139" s="288"/>
      <c r="J139" s="289"/>
      <c r="K139" s="287"/>
      <c r="L139" s="288"/>
      <c r="M139" s="288"/>
      <c r="N139" s="288"/>
      <c r="O139" s="287"/>
      <c r="P139" s="287"/>
      <c r="Q139" s="288"/>
      <c r="R139" s="290"/>
      <c r="S139"/>
      <c r="T139"/>
      <c r="U139"/>
      <c r="V139"/>
    </row>
    <row r="140" spans="1:22">
      <c r="A140" s="285"/>
      <c r="B140" s="595"/>
      <c r="C140" s="596"/>
      <c r="D140" s="597"/>
      <c r="E140" s="597"/>
      <c r="F140" s="597"/>
      <c r="G140" s="597"/>
      <c r="H140" s="597"/>
      <c r="I140" s="597"/>
      <c r="J140" s="598"/>
      <c r="K140" s="596"/>
      <c r="L140" s="597"/>
      <c r="M140" s="597"/>
      <c r="N140" s="597"/>
      <c r="O140" s="596"/>
      <c r="P140" s="599"/>
      <c r="Q140" s="597"/>
      <c r="R140" s="600"/>
      <c r="S140"/>
      <c r="T140"/>
      <c r="U140"/>
      <c r="V140"/>
    </row>
    <row r="141" spans="1:22">
      <c r="A141" s="285"/>
      <c r="B141" s="264"/>
      <c r="C141" s="281"/>
      <c r="D141" s="282"/>
      <c r="E141" s="282"/>
      <c r="F141" s="282"/>
      <c r="G141" s="282"/>
      <c r="H141" s="282"/>
      <c r="I141" s="282"/>
      <c r="J141" s="283"/>
      <c r="K141" s="281"/>
      <c r="L141" s="282"/>
      <c r="M141" s="282"/>
      <c r="N141" s="282"/>
      <c r="O141" s="281"/>
      <c r="P141" s="281"/>
      <c r="Q141" s="282"/>
      <c r="R141" s="284"/>
      <c r="S141"/>
      <c r="T141"/>
      <c r="U141"/>
      <c r="V141"/>
    </row>
    <row r="142" spans="1:22">
      <c r="A142" s="285"/>
      <c r="B142" s="286"/>
      <c r="C142" s="287"/>
      <c r="D142" s="288"/>
      <c r="E142" s="288"/>
      <c r="F142" s="288"/>
      <c r="G142" s="288"/>
      <c r="H142" s="288"/>
      <c r="I142" s="288"/>
      <c r="J142" s="289"/>
      <c r="K142" s="287"/>
      <c r="L142" s="288"/>
      <c r="M142" s="288"/>
      <c r="N142" s="288"/>
      <c r="O142" s="287"/>
      <c r="P142" s="287"/>
      <c r="Q142" s="288"/>
      <c r="R142" s="290"/>
      <c r="S142"/>
      <c r="T142"/>
      <c r="U142"/>
      <c r="V142"/>
    </row>
    <row r="143" spans="1:22">
      <c r="A143" s="285"/>
      <c r="B143" s="595"/>
      <c r="C143" s="596"/>
      <c r="D143" s="597"/>
      <c r="E143" s="597"/>
      <c r="F143" s="597"/>
      <c r="G143" s="597"/>
      <c r="H143" s="597"/>
      <c r="I143" s="597"/>
      <c r="J143" s="598"/>
      <c r="K143" s="596"/>
      <c r="L143" s="597"/>
      <c r="M143" s="597"/>
      <c r="N143" s="597"/>
      <c r="O143" s="596"/>
      <c r="P143" s="599"/>
      <c r="Q143" s="597"/>
      <c r="R143" s="600"/>
      <c r="S143"/>
      <c r="T143"/>
      <c r="U143"/>
      <c r="V143"/>
    </row>
    <row r="144" spans="1:22">
      <c r="A144" s="285"/>
      <c r="B144" s="264"/>
      <c r="C144" s="281"/>
      <c r="D144" s="282"/>
      <c r="E144" s="282"/>
      <c r="F144" s="282"/>
      <c r="G144" s="282"/>
      <c r="H144" s="282"/>
      <c r="I144" s="282"/>
      <c r="J144" s="283"/>
      <c r="K144" s="281"/>
      <c r="L144" s="282"/>
      <c r="M144" s="282"/>
      <c r="N144" s="282"/>
      <c r="O144" s="281"/>
      <c r="P144" s="281"/>
      <c r="Q144" s="282"/>
      <c r="R144" s="284"/>
      <c r="S144"/>
      <c r="T144"/>
      <c r="U144"/>
      <c r="V144"/>
    </row>
    <row r="145" spans="1:22">
      <c r="A145" s="285"/>
      <c r="B145" s="286"/>
      <c r="C145" s="287"/>
      <c r="D145" s="288"/>
      <c r="E145" s="288"/>
      <c r="F145" s="288"/>
      <c r="G145" s="288"/>
      <c r="H145" s="288"/>
      <c r="I145" s="288"/>
      <c r="J145" s="289"/>
      <c r="K145" s="287"/>
      <c r="L145" s="288"/>
      <c r="M145" s="288"/>
      <c r="N145" s="288"/>
      <c r="O145" s="287"/>
      <c r="P145" s="287"/>
      <c r="Q145" s="288"/>
      <c r="R145" s="290"/>
      <c r="S145"/>
      <c r="T145"/>
      <c r="U145"/>
      <c r="V145"/>
    </row>
    <row r="146" spans="1:22">
      <c r="A146" s="285"/>
      <c r="B146" s="595"/>
      <c r="C146" s="596"/>
      <c r="D146" s="597"/>
      <c r="E146" s="597"/>
      <c r="F146" s="597"/>
      <c r="G146" s="597"/>
      <c r="H146" s="597"/>
      <c r="I146" s="597"/>
      <c r="J146" s="598"/>
      <c r="K146" s="596"/>
      <c r="L146" s="597"/>
      <c r="M146" s="597"/>
      <c r="N146" s="597"/>
      <c r="O146" s="596"/>
      <c r="P146" s="599"/>
      <c r="Q146" s="597"/>
      <c r="R146" s="600"/>
      <c r="S146"/>
      <c r="T146"/>
      <c r="U146"/>
      <c r="V146"/>
    </row>
    <row r="147" spans="1:22">
      <c r="A147" s="285"/>
      <c r="B147" s="264"/>
      <c r="C147" s="281"/>
      <c r="D147" s="282"/>
      <c r="E147" s="282"/>
      <c r="F147" s="282"/>
      <c r="G147" s="282"/>
      <c r="H147" s="282"/>
      <c r="I147" s="282"/>
      <c r="J147" s="283"/>
      <c r="K147" s="281"/>
      <c r="L147" s="282"/>
      <c r="M147" s="282"/>
      <c r="N147" s="282"/>
      <c r="O147" s="281"/>
      <c r="P147" s="281"/>
      <c r="Q147" s="282"/>
      <c r="R147" s="284"/>
      <c r="S147"/>
      <c r="T147"/>
      <c r="U147"/>
      <c r="V147"/>
    </row>
    <row r="148" spans="1:22">
      <c r="A148" s="285"/>
      <c r="B148" s="286"/>
      <c r="C148" s="287"/>
      <c r="D148" s="288"/>
      <c r="E148" s="288"/>
      <c r="F148" s="288"/>
      <c r="G148" s="288"/>
      <c r="H148" s="288"/>
      <c r="I148" s="288"/>
      <c r="J148" s="289"/>
      <c r="K148" s="287"/>
      <c r="L148" s="288"/>
      <c r="M148" s="288"/>
      <c r="N148" s="288"/>
      <c r="O148" s="287"/>
      <c r="P148" s="287"/>
      <c r="Q148" s="288"/>
      <c r="R148" s="290"/>
      <c r="S148"/>
      <c r="T148"/>
      <c r="U148"/>
      <c r="V148"/>
    </row>
    <row r="149" spans="1:22">
      <c r="A149" s="292"/>
      <c r="B149" s="595"/>
      <c r="C149" s="596"/>
      <c r="D149" s="597"/>
      <c r="E149" s="597"/>
      <c r="F149" s="597"/>
      <c r="G149" s="597"/>
      <c r="H149" s="597"/>
      <c r="I149" s="597"/>
      <c r="J149" s="598"/>
      <c r="K149" s="596"/>
      <c r="L149" s="597"/>
      <c r="M149" s="597"/>
      <c r="N149" s="597"/>
      <c r="O149" s="596"/>
      <c r="P149" s="599"/>
      <c r="Q149" s="597"/>
      <c r="R149" s="600"/>
      <c r="S149"/>
      <c r="T149"/>
      <c r="U149"/>
      <c r="V149"/>
    </row>
    <row r="150" spans="1:22">
      <c r="A150" s="280"/>
      <c r="B150" s="264"/>
      <c r="C150" s="281"/>
      <c r="D150" s="282"/>
      <c r="E150" s="282"/>
      <c r="F150" s="282"/>
      <c r="G150" s="282"/>
      <c r="H150" s="282"/>
      <c r="I150" s="282"/>
      <c r="J150" s="283"/>
      <c r="K150" s="281"/>
      <c r="L150" s="282"/>
      <c r="M150" s="282"/>
      <c r="N150" s="282"/>
      <c r="O150" s="281"/>
      <c r="P150" s="281"/>
      <c r="Q150" s="282"/>
      <c r="R150" s="284"/>
      <c r="S150"/>
      <c r="T150"/>
      <c r="U150"/>
      <c r="V150"/>
    </row>
    <row r="151" spans="1:22">
      <c r="A151" s="285"/>
      <c r="B151" s="286"/>
      <c r="C151" s="287"/>
      <c r="D151" s="288"/>
      <c r="E151" s="288"/>
      <c r="F151" s="288"/>
      <c r="G151" s="288"/>
      <c r="H151" s="288"/>
      <c r="I151" s="288"/>
      <c r="J151" s="289"/>
      <c r="K151" s="287"/>
      <c r="L151" s="288"/>
      <c r="M151" s="288"/>
      <c r="N151" s="288"/>
      <c r="O151" s="287"/>
      <c r="P151" s="287"/>
      <c r="Q151" s="288"/>
      <c r="R151" s="290"/>
      <c r="S151"/>
      <c r="T151"/>
      <c r="U151"/>
      <c r="V151"/>
    </row>
    <row r="152" spans="1:22">
      <c r="A152" s="285"/>
      <c r="B152" s="595"/>
      <c r="C152" s="596"/>
      <c r="D152" s="597"/>
      <c r="E152" s="597"/>
      <c r="F152" s="597"/>
      <c r="G152" s="597"/>
      <c r="H152" s="597"/>
      <c r="I152" s="597"/>
      <c r="J152" s="598"/>
      <c r="K152" s="596"/>
      <c r="L152" s="597"/>
      <c r="M152" s="597"/>
      <c r="N152" s="597"/>
      <c r="O152" s="596"/>
      <c r="P152" s="599"/>
      <c r="Q152" s="597"/>
      <c r="R152" s="600"/>
      <c r="S152"/>
      <c r="T152"/>
      <c r="U152"/>
      <c r="V152"/>
    </row>
    <row r="153" spans="1:22">
      <c r="A153" s="285"/>
      <c r="B153" s="264"/>
      <c r="C153" s="281"/>
      <c r="D153" s="282"/>
      <c r="E153" s="282"/>
      <c r="F153" s="282"/>
      <c r="G153" s="282"/>
      <c r="H153" s="282"/>
      <c r="I153" s="282"/>
      <c r="J153" s="283"/>
      <c r="K153" s="281"/>
      <c r="L153" s="282"/>
      <c r="M153" s="282"/>
      <c r="N153" s="282"/>
      <c r="O153" s="281"/>
      <c r="P153" s="281"/>
      <c r="Q153" s="282"/>
      <c r="R153" s="284"/>
      <c r="S153"/>
      <c r="T153"/>
      <c r="U153"/>
      <c r="V153"/>
    </row>
    <row r="154" spans="1:22">
      <c r="A154" s="285"/>
      <c r="B154" s="286"/>
      <c r="C154" s="287"/>
      <c r="D154" s="288"/>
      <c r="E154" s="288"/>
      <c r="F154" s="288"/>
      <c r="G154" s="288"/>
      <c r="H154" s="288"/>
      <c r="I154" s="288"/>
      <c r="J154" s="289"/>
      <c r="K154" s="287"/>
      <c r="L154" s="288"/>
      <c r="M154" s="288"/>
      <c r="N154" s="288"/>
      <c r="O154" s="287"/>
      <c r="P154" s="287"/>
      <c r="Q154" s="288"/>
      <c r="R154" s="290"/>
      <c r="S154"/>
      <c r="T154"/>
      <c r="U154"/>
      <c r="V154"/>
    </row>
    <row r="155" spans="1:22">
      <c r="A155" s="285"/>
      <c r="B155" s="595"/>
      <c r="C155" s="596"/>
      <c r="D155" s="597"/>
      <c r="E155" s="597"/>
      <c r="F155" s="597"/>
      <c r="G155" s="597"/>
      <c r="H155" s="597"/>
      <c r="I155" s="597"/>
      <c r="J155" s="598"/>
      <c r="K155" s="596"/>
      <c r="L155" s="597"/>
      <c r="M155" s="597"/>
      <c r="N155" s="597"/>
      <c r="O155" s="596"/>
      <c r="P155" s="599"/>
      <c r="Q155" s="597"/>
      <c r="R155" s="600"/>
      <c r="S155"/>
      <c r="T155"/>
      <c r="U155"/>
      <c r="V155"/>
    </row>
    <row r="156" spans="1:22">
      <c r="A156" s="285"/>
      <c r="B156" s="264"/>
      <c r="C156" s="281"/>
      <c r="D156" s="282"/>
      <c r="E156" s="282"/>
      <c r="F156" s="282"/>
      <c r="G156" s="282"/>
      <c r="H156" s="282"/>
      <c r="I156" s="282"/>
      <c r="J156" s="283"/>
      <c r="K156" s="281"/>
      <c r="L156" s="282"/>
      <c r="M156" s="282"/>
      <c r="N156" s="282"/>
      <c r="O156" s="281"/>
      <c r="P156" s="281"/>
      <c r="Q156" s="282"/>
      <c r="R156" s="284"/>
      <c r="S156"/>
      <c r="T156"/>
      <c r="U156"/>
      <c r="V156"/>
    </row>
    <row r="157" spans="1:22">
      <c r="A157" s="285"/>
      <c r="B157" s="286"/>
      <c r="C157" s="287"/>
      <c r="D157" s="288"/>
      <c r="E157" s="288"/>
      <c r="F157" s="288"/>
      <c r="G157" s="288"/>
      <c r="H157" s="288"/>
      <c r="I157" s="288"/>
      <c r="J157" s="289"/>
      <c r="K157" s="287"/>
      <c r="L157" s="288"/>
      <c r="M157" s="288"/>
      <c r="N157" s="288"/>
      <c r="O157" s="287"/>
      <c r="P157" s="287"/>
      <c r="Q157" s="288"/>
      <c r="R157" s="290"/>
      <c r="S157"/>
      <c r="T157"/>
      <c r="U157"/>
      <c r="V157"/>
    </row>
    <row r="158" spans="1:22">
      <c r="A158" s="285"/>
      <c r="B158" s="595"/>
      <c r="C158" s="596"/>
      <c r="D158" s="597"/>
      <c r="E158" s="597"/>
      <c r="F158" s="597"/>
      <c r="G158" s="597"/>
      <c r="H158" s="597"/>
      <c r="I158" s="597"/>
      <c r="J158" s="598"/>
      <c r="K158" s="596"/>
      <c r="L158" s="597"/>
      <c r="M158" s="597"/>
      <c r="N158" s="597"/>
      <c r="O158" s="596"/>
      <c r="P158" s="599"/>
      <c r="Q158" s="597"/>
      <c r="R158" s="600"/>
      <c r="S158"/>
      <c r="T158"/>
      <c r="U158"/>
      <c r="V158"/>
    </row>
    <row r="159" spans="1:22">
      <c r="A159" s="285"/>
      <c r="B159" s="264"/>
      <c r="C159" s="281"/>
      <c r="D159" s="282"/>
      <c r="E159" s="282"/>
      <c r="F159" s="282"/>
      <c r="G159" s="282"/>
      <c r="H159" s="282"/>
      <c r="I159" s="282"/>
      <c r="J159" s="283"/>
      <c r="K159" s="281"/>
      <c r="L159" s="282"/>
      <c r="M159" s="282"/>
      <c r="N159" s="282"/>
      <c r="O159" s="281"/>
      <c r="P159" s="281"/>
      <c r="Q159" s="282"/>
      <c r="R159" s="284"/>
      <c r="S159"/>
      <c r="T159"/>
      <c r="U159"/>
      <c r="V159"/>
    </row>
    <row r="160" spans="1:22">
      <c r="A160" s="285"/>
      <c r="B160" s="286"/>
      <c r="C160" s="287"/>
      <c r="D160" s="288"/>
      <c r="E160" s="288"/>
      <c r="F160" s="288"/>
      <c r="G160" s="288"/>
      <c r="H160" s="288"/>
      <c r="I160" s="288"/>
      <c r="J160" s="289"/>
      <c r="K160" s="287"/>
      <c r="L160" s="288"/>
      <c r="M160" s="288"/>
      <c r="N160" s="288"/>
      <c r="O160" s="287"/>
      <c r="P160" s="287"/>
      <c r="Q160" s="288"/>
      <c r="R160" s="290"/>
      <c r="S160"/>
      <c r="T160"/>
      <c r="U160"/>
      <c r="V160"/>
    </row>
    <row r="161" spans="1:22">
      <c r="A161" s="285"/>
      <c r="B161" s="595"/>
      <c r="C161" s="596"/>
      <c r="D161" s="597"/>
      <c r="E161" s="597"/>
      <c r="F161" s="597"/>
      <c r="G161" s="597"/>
      <c r="H161" s="597"/>
      <c r="I161" s="597"/>
      <c r="J161" s="598"/>
      <c r="K161" s="596"/>
      <c r="L161" s="597"/>
      <c r="M161" s="597"/>
      <c r="N161" s="597"/>
      <c r="O161" s="596"/>
      <c r="P161" s="599"/>
      <c r="Q161" s="597"/>
      <c r="R161" s="600"/>
      <c r="S161"/>
      <c r="T161"/>
      <c r="U161"/>
      <c r="V161"/>
    </row>
    <row r="162" spans="1:22">
      <c r="A162" s="285"/>
      <c r="B162" s="264"/>
      <c r="C162" s="281"/>
      <c r="D162" s="282"/>
      <c r="E162" s="282"/>
      <c r="F162" s="282"/>
      <c r="G162" s="282"/>
      <c r="H162" s="282"/>
      <c r="I162" s="282"/>
      <c r="J162" s="283"/>
      <c r="K162" s="281"/>
      <c r="L162" s="282"/>
      <c r="M162" s="282"/>
      <c r="N162" s="282"/>
      <c r="O162" s="281"/>
      <c r="P162" s="281"/>
      <c r="Q162" s="282"/>
      <c r="R162" s="284"/>
      <c r="S162"/>
      <c r="T162"/>
      <c r="U162"/>
      <c r="V162"/>
    </row>
    <row r="163" spans="1:22">
      <c r="A163" s="285"/>
      <c r="B163" s="286"/>
      <c r="C163" s="287"/>
      <c r="D163" s="288"/>
      <c r="E163" s="288"/>
      <c r="F163" s="288"/>
      <c r="G163" s="288"/>
      <c r="H163" s="288"/>
      <c r="I163" s="288"/>
      <c r="J163" s="289"/>
      <c r="K163" s="287"/>
      <c r="L163" s="288"/>
      <c r="M163" s="288"/>
      <c r="N163" s="288"/>
      <c r="O163" s="287"/>
      <c r="P163" s="287"/>
      <c r="Q163" s="288"/>
      <c r="R163" s="290"/>
      <c r="S163"/>
      <c r="T163"/>
      <c r="U163"/>
      <c r="V163"/>
    </row>
    <row r="164" spans="1:22">
      <c r="A164" s="285"/>
      <c r="B164" s="595"/>
      <c r="C164" s="596"/>
      <c r="D164" s="597"/>
      <c r="E164" s="597"/>
      <c r="F164" s="597"/>
      <c r="G164" s="597"/>
      <c r="H164" s="597"/>
      <c r="I164" s="597"/>
      <c r="J164" s="598"/>
      <c r="K164" s="596"/>
      <c r="L164" s="597"/>
      <c r="M164" s="597"/>
      <c r="N164" s="597"/>
      <c r="O164" s="596"/>
      <c r="P164" s="599"/>
      <c r="Q164" s="597"/>
      <c r="R164" s="600"/>
      <c r="S164"/>
      <c r="T164"/>
      <c r="U164"/>
      <c r="V164"/>
    </row>
    <row r="165" spans="1:22">
      <c r="A165" s="285"/>
      <c r="B165" s="264"/>
      <c r="C165" s="281"/>
      <c r="D165" s="282"/>
      <c r="E165" s="282"/>
      <c r="F165" s="282"/>
      <c r="G165" s="282"/>
      <c r="H165" s="282"/>
      <c r="I165" s="282"/>
      <c r="J165" s="283"/>
      <c r="K165" s="281"/>
      <c r="L165" s="282"/>
      <c r="M165" s="282"/>
      <c r="N165" s="282"/>
      <c r="O165" s="281"/>
      <c r="P165" s="281"/>
      <c r="Q165" s="282"/>
      <c r="R165" s="284"/>
      <c r="S165"/>
      <c r="T165"/>
      <c r="U165"/>
      <c r="V165"/>
    </row>
    <row r="166" spans="1:22">
      <c r="A166" s="285"/>
      <c r="B166" s="286"/>
      <c r="C166" s="287"/>
      <c r="D166" s="288"/>
      <c r="E166" s="288"/>
      <c r="F166" s="288"/>
      <c r="G166" s="288"/>
      <c r="H166" s="288"/>
      <c r="I166" s="288"/>
      <c r="J166" s="289"/>
      <c r="K166" s="287"/>
      <c r="L166" s="288"/>
      <c r="M166" s="288"/>
      <c r="N166" s="288"/>
      <c r="O166" s="287"/>
      <c r="P166" s="287"/>
      <c r="Q166" s="288"/>
      <c r="R166" s="290"/>
      <c r="S166"/>
      <c r="T166"/>
      <c r="U166"/>
      <c r="V166"/>
    </row>
    <row r="167" spans="1:22">
      <c r="A167" s="285"/>
      <c r="B167" s="595"/>
      <c r="C167" s="596"/>
      <c r="D167" s="597"/>
      <c r="E167" s="597"/>
      <c r="F167" s="597"/>
      <c r="G167" s="597"/>
      <c r="H167" s="597"/>
      <c r="I167" s="597"/>
      <c r="J167" s="598"/>
      <c r="K167" s="596"/>
      <c r="L167" s="597"/>
      <c r="M167" s="597"/>
      <c r="N167" s="597"/>
      <c r="O167" s="596"/>
      <c r="P167" s="599"/>
      <c r="Q167" s="597"/>
      <c r="R167" s="600"/>
      <c r="S167"/>
      <c r="T167"/>
      <c r="U167"/>
      <c r="V167"/>
    </row>
    <row r="168" spans="1:22">
      <c r="A168" s="285"/>
      <c r="B168" s="264"/>
      <c r="C168" s="281"/>
      <c r="D168" s="282"/>
      <c r="E168" s="282"/>
      <c r="F168" s="282"/>
      <c r="G168" s="282"/>
      <c r="H168" s="282"/>
      <c r="I168" s="282"/>
      <c r="J168" s="283"/>
      <c r="K168" s="281"/>
      <c r="L168" s="282"/>
      <c r="M168" s="282"/>
      <c r="N168" s="282"/>
      <c r="O168" s="281"/>
      <c r="P168" s="281"/>
      <c r="Q168" s="282"/>
      <c r="R168" s="284"/>
      <c r="S168"/>
      <c r="T168"/>
      <c r="U168"/>
      <c r="V168"/>
    </row>
    <row r="169" spans="1:22">
      <c r="A169" s="285"/>
      <c r="B169" s="286"/>
      <c r="C169" s="287"/>
      <c r="D169" s="288"/>
      <c r="E169" s="288"/>
      <c r="F169" s="288"/>
      <c r="G169" s="288"/>
      <c r="H169" s="288"/>
      <c r="I169" s="288"/>
      <c r="J169" s="289"/>
      <c r="K169" s="287"/>
      <c r="L169" s="288"/>
      <c r="M169" s="288"/>
      <c r="N169" s="288"/>
      <c r="O169" s="287"/>
      <c r="P169" s="287"/>
      <c r="Q169" s="288"/>
      <c r="R169" s="290"/>
      <c r="S169"/>
      <c r="T169"/>
      <c r="U169"/>
      <c r="V169"/>
    </row>
    <row r="170" spans="1:22">
      <c r="A170" s="285"/>
      <c r="B170" s="595"/>
      <c r="C170" s="596"/>
      <c r="D170" s="597"/>
      <c r="E170" s="597"/>
      <c r="F170" s="597"/>
      <c r="G170" s="597"/>
      <c r="H170" s="597"/>
      <c r="I170" s="597"/>
      <c r="J170" s="598"/>
      <c r="K170" s="596"/>
      <c r="L170" s="597"/>
      <c r="M170" s="597"/>
      <c r="N170" s="597"/>
      <c r="O170" s="596"/>
      <c r="P170" s="599"/>
      <c r="Q170" s="597"/>
      <c r="R170" s="600"/>
      <c r="S170"/>
      <c r="T170"/>
      <c r="U170"/>
      <c r="V170"/>
    </row>
    <row r="171" spans="1:22">
      <c r="A171" s="285"/>
      <c r="B171" s="264"/>
      <c r="C171" s="281"/>
      <c r="D171" s="282"/>
      <c r="E171" s="282"/>
      <c r="F171" s="282"/>
      <c r="G171" s="282"/>
      <c r="H171" s="282"/>
      <c r="I171" s="282"/>
      <c r="J171" s="283"/>
      <c r="K171" s="281"/>
      <c r="L171" s="282"/>
      <c r="M171" s="282"/>
      <c r="N171" s="282"/>
      <c r="O171" s="281"/>
      <c r="P171" s="281"/>
      <c r="Q171" s="282"/>
      <c r="R171" s="284"/>
      <c r="S171"/>
      <c r="T171"/>
      <c r="U171"/>
      <c r="V171"/>
    </row>
    <row r="172" spans="1:22">
      <c r="A172" s="285"/>
      <c r="B172" s="286"/>
      <c r="C172" s="287"/>
      <c r="D172" s="288"/>
      <c r="E172" s="288"/>
      <c r="F172" s="288"/>
      <c r="G172" s="288"/>
      <c r="H172" s="288"/>
      <c r="I172" s="288"/>
      <c r="J172" s="289"/>
      <c r="K172" s="287"/>
      <c r="L172" s="288"/>
      <c r="M172" s="288"/>
      <c r="N172" s="288"/>
      <c r="O172" s="287"/>
      <c r="P172" s="287"/>
      <c r="Q172" s="288"/>
      <c r="R172" s="290"/>
      <c r="S172"/>
      <c r="T172"/>
      <c r="U172"/>
      <c r="V172"/>
    </row>
    <row r="173" spans="1:22">
      <c r="A173" s="285"/>
      <c r="B173" s="595"/>
      <c r="C173" s="596"/>
      <c r="D173" s="597"/>
      <c r="E173" s="597"/>
      <c r="F173" s="597"/>
      <c r="G173" s="597"/>
      <c r="H173" s="597"/>
      <c r="I173" s="597"/>
      <c r="J173" s="598"/>
      <c r="K173" s="596"/>
      <c r="L173" s="597"/>
      <c r="M173" s="597"/>
      <c r="N173" s="597"/>
      <c r="O173" s="596"/>
      <c r="P173" s="599"/>
      <c r="Q173" s="597"/>
      <c r="R173" s="600"/>
      <c r="S173"/>
      <c r="T173"/>
      <c r="U173"/>
      <c r="V173"/>
    </row>
    <row r="174" spans="1:22">
      <c r="A174" s="285"/>
      <c r="B174" s="264"/>
      <c r="C174" s="281"/>
      <c r="D174" s="282"/>
      <c r="E174" s="282"/>
      <c r="F174" s="282"/>
      <c r="G174" s="282"/>
      <c r="H174" s="282"/>
      <c r="I174" s="282"/>
      <c r="J174" s="283"/>
      <c r="K174" s="281"/>
      <c r="L174" s="282"/>
      <c r="M174" s="282"/>
      <c r="N174" s="282"/>
      <c r="O174" s="281"/>
      <c r="P174" s="281"/>
      <c r="Q174" s="282"/>
      <c r="R174" s="284"/>
      <c r="S174"/>
      <c r="T174"/>
      <c r="U174"/>
      <c r="V174"/>
    </row>
    <row r="175" spans="1:22">
      <c r="A175" s="285"/>
      <c r="B175" s="286"/>
      <c r="C175" s="287"/>
      <c r="D175" s="288"/>
      <c r="E175" s="288"/>
      <c r="F175" s="288"/>
      <c r="G175" s="288"/>
      <c r="H175" s="288"/>
      <c r="I175" s="288"/>
      <c r="J175" s="289"/>
      <c r="K175" s="287"/>
      <c r="L175" s="288"/>
      <c r="M175" s="288"/>
      <c r="N175" s="288"/>
      <c r="O175" s="287"/>
      <c r="P175" s="287"/>
      <c r="Q175" s="288"/>
      <c r="R175" s="290"/>
      <c r="S175"/>
      <c r="T175"/>
      <c r="U175"/>
      <c r="V175"/>
    </row>
    <row r="176" spans="1:22">
      <c r="A176" s="285"/>
      <c r="B176" s="595"/>
      <c r="C176" s="596"/>
      <c r="D176" s="597"/>
      <c r="E176" s="597"/>
      <c r="F176" s="597"/>
      <c r="G176" s="597"/>
      <c r="H176" s="597"/>
      <c r="I176" s="597"/>
      <c r="J176" s="598"/>
      <c r="K176" s="596"/>
      <c r="L176" s="597"/>
      <c r="M176" s="597"/>
      <c r="N176" s="597"/>
      <c r="O176" s="596"/>
      <c r="P176" s="599"/>
      <c r="Q176" s="597"/>
      <c r="R176" s="600"/>
      <c r="S176"/>
      <c r="T176"/>
      <c r="U176"/>
      <c r="V176"/>
    </row>
    <row r="177" spans="1:22">
      <c r="A177" s="285"/>
      <c r="B177" s="264"/>
      <c r="C177" s="281"/>
      <c r="D177" s="282"/>
      <c r="E177" s="282"/>
      <c r="F177" s="282"/>
      <c r="G177" s="282"/>
      <c r="H177" s="282"/>
      <c r="I177" s="282"/>
      <c r="J177" s="283"/>
      <c r="K177" s="281"/>
      <c r="L177" s="282"/>
      <c r="M177" s="282"/>
      <c r="N177" s="282"/>
      <c r="O177" s="281"/>
      <c r="P177" s="281"/>
      <c r="Q177" s="282"/>
      <c r="R177" s="284"/>
      <c r="S177"/>
      <c r="T177"/>
      <c r="U177"/>
      <c r="V177"/>
    </row>
    <row r="178" spans="1:22">
      <c r="A178" s="285"/>
      <c r="B178" s="286"/>
      <c r="C178" s="287"/>
      <c r="D178" s="288"/>
      <c r="E178" s="288"/>
      <c r="F178" s="288"/>
      <c r="G178" s="288"/>
      <c r="H178" s="288"/>
      <c r="I178" s="288"/>
      <c r="J178" s="289"/>
      <c r="K178" s="287"/>
      <c r="L178" s="288"/>
      <c r="M178" s="288"/>
      <c r="N178" s="288"/>
      <c r="O178" s="287"/>
      <c r="P178" s="287"/>
      <c r="Q178" s="288"/>
      <c r="R178" s="290"/>
      <c r="S178"/>
      <c r="T178"/>
      <c r="U178"/>
      <c r="V178"/>
    </row>
    <row r="179" spans="1:22">
      <c r="A179" s="285"/>
      <c r="B179" s="595"/>
      <c r="C179" s="596"/>
      <c r="D179" s="597"/>
      <c r="E179" s="597"/>
      <c r="F179" s="597"/>
      <c r="G179" s="597"/>
      <c r="H179" s="597"/>
      <c r="I179" s="597"/>
      <c r="J179" s="598"/>
      <c r="K179" s="596"/>
      <c r="L179" s="597"/>
      <c r="M179" s="597"/>
      <c r="N179" s="597"/>
      <c r="O179" s="596"/>
      <c r="P179" s="599"/>
      <c r="Q179" s="597"/>
      <c r="R179" s="600"/>
      <c r="S179"/>
      <c r="T179"/>
      <c r="U179"/>
      <c r="V179"/>
    </row>
    <row r="180" spans="1:22">
      <c r="A180" s="285"/>
      <c r="B180" s="264"/>
      <c r="C180" s="281"/>
      <c r="D180" s="282"/>
      <c r="E180" s="282"/>
      <c r="F180" s="282"/>
      <c r="G180" s="282"/>
      <c r="H180" s="282"/>
      <c r="I180" s="282"/>
      <c r="J180" s="283"/>
      <c r="K180" s="281"/>
      <c r="L180" s="282"/>
      <c r="M180" s="282"/>
      <c r="N180" s="282"/>
      <c r="O180" s="281"/>
      <c r="P180" s="281"/>
      <c r="Q180" s="282"/>
      <c r="R180" s="284"/>
      <c r="S180"/>
      <c r="T180"/>
      <c r="U180"/>
      <c r="V180"/>
    </row>
    <row r="181" spans="1:22">
      <c r="A181" s="285"/>
      <c r="B181" s="286"/>
      <c r="C181" s="287"/>
      <c r="D181" s="288"/>
      <c r="E181" s="288"/>
      <c r="F181" s="288"/>
      <c r="G181" s="288"/>
      <c r="H181" s="288"/>
      <c r="I181" s="288"/>
      <c r="J181" s="289"/>
      <c r="K181" s="287"/>
      <c r="L181" s="288"/>
      <c r="M181" s="288"/>
      <c r="N181" s="288"/>
      <c r="O181" s="287"/>
      <c r="P181" s="287"/>
      <c r="Q181" s="288"/>
      <c r="R181" s="290"/>
      <c r="S181"/>
      <c r="T181"/>
      <c r="U181"/>
      <c r="V181"/>
    </row>
    <row r="182" spans="1:22">
      <c r="A182" s="285"/>
      <c r="B182" s="595"/>
      <c r="C182" s="596"/>
      <c r="D182" s="597"/>
      <c r="E182" s="597"/>
      <c r="F182" s="597"/>
      <c r="G182" s="597"/>
      <c r="H182" s="597"/>
      <c r="I182" s="597"/>
      <c r="J182" s="598"/>
      <c r="K182" s="596"/>
      <c r="L182" s="597"/>
      <c r="M182" s="597"/>
      <c r="N182" s="597"/>
      <c r="O182" s="596"/>
      <c r="P182" s="599"/>
      <c r="Q182" s="597"/>
      <c r="R182" s="600"/>
      <c r="S182"/>
      <c r="T182"/>
      <c r="U182"/>
      <c r="V182"/>
    </row>
    <row r="183" spans="1:22">
      <c r="A183" s="285"/>
      <c r="B183" s="264"/>
      <c r="C183" s="281"/>
      <c r="D183" s="282"/>
      <c r="E183" s="282"/>
      <c r="F183" s="282"/>
      <c r="G183" s="282"/>
      <c r="H183" s="282"/>
      <c r="I183" s="282"/>
      <c r="J183" s="283"/>
      <c r="K183" s="281"/>
      <c r="L183" s="282"/>
      <c r="M183" s="282"/>
      <c r="N183" s="282"/>
      <c r="O183" s="281"/>
      <c r="P183" s="281"/>
      <c r="Q183" s="282"/>
      <c r="R183" s="284"/>
      <c r="S183"/>
      <c r="T183"/>
      <c r="U183"/>
      <c r="V183"/>
    </row>
    <row r="184" spans="1:22">
      <c r="A184" s="285"/>
      <c r="B184" s="286"/>
      <c r="C184" s="287"/>
      <c r="D184" s="288"/>
      <c r="E184" s="288"/>
      <c r="F184" s="288"/>
      <c r="G184" s="288"/>
      <c r="H184" s="288"/>
      <c r="I184" s="288"/>
      <c r="J184" s="289"/>
      <c r="K184" s="287"/>
      <c r="L184" s="288"/>
      <c r="M184" s="288"/>
      <c r="N184" s="288"/>
      <c r="O184" s="287"/>
      <c r="P184" s="287"/>
      <c r="Q184" s="288"/>
      <c r="R184" s="290"/>
      <c r="S184"/>
      <c r="T184"/>
      <c r="U184"/>
      <c r="V184"/>
    </row>
    <row r="185" spans="1:22">
      <c r="A185" s="292"/>
      <c r="B185" s="595"/>
      <c r="C185" s="596"/>
      <c r="D185" s="597"/>
      <c r="E185" s="597"/>
      <c r="F185" s="597"/>
      <c r="G185" s="597"/>
      <c r="H185" s="597"/>
      <c r="I185" s="597"/>
      <c r="J185" s="598"/>
      <c r="K185" s="596"/>
      <c r="L185" s="597"/>
      <c r="M185" s="597"/>
      <c r="N185" s="597"/>
      <c r="O185" s="596"/>
      <c r="P185" s="599"/>
      <c r="Q185" s="597"/>
      <c r="R185" s="600"/>
      <c r="S185"/>
      <c r="T185"/>
      <c r="U185"/>
      <c r="V185"/>
    </row>
    <row r="186" spans="1:22">
      <c r="A186" s="280"/>
      <c r="B186" s="264"/>
      <c r="C186" s="281"/>
      <c r="D186" s="282"/>
      <c r="E186" s="282"/>
      <c r="F186" s="282"/>
      <c r="G186" s="282"/>
      <c r="H186" s="282"/>
      <c r="I186" s="282"/>
      <c r="J186" s="283"/>
      <c r="K186" s="281"/>
      <c r="L186" s="282"/>
      <c r="M186" s="282"/>
      <c r="N186" s="282"/>
      <c r="O186" s="281"/>
      <c r="P186" s="281"/>
      <c r="Q186" s="282"/>
      <c r="R186" s="284"/>
      <c r="S186"/>
      <c r="T186"/>
      <c r="U186"/>
      <c r="V186"/>
    </row>
    <row r="187" spans="1:22">
      <c r="A187" s="285"/>
      <c r="B187" s="286"/>
      <c r="C187" s="287"/>
      <c r="D187" s="288"/>
      <c r="E187" s="288"/>
      <c r="F187" s="288"/>
      <c r="G187" s="288"/>
      <c r="H187" s="288"/>
      <c r="I187" s="288"/>
      <c r="J187" s="289"/>
      <c r="K187" s="287"/>
      <c r="L187" s="288"/>
      <c r="M187" s="288"/>
      <c r="N187" s="288"/>
      <c r="O187" s="287"/>
      <c r="P187" s="287"/>
      <c r="Q187" s="288"/>
      <c r="R187" s="290"/>
      <c r="S187"/>
      <c r="T187"/>
      <c r="U187"/>
      <c r="V187"/>
    </row>
    <row r="188" spans="1:22">
      <c r="A188" s="285"/>
      <c r="B188" s="595"/>
      <c r="C188" s="596"/>
      <c r="D188" s="597"/>
      <c r="E188" s="597"/>
      <c r="F188" s="597"/>
      <c r="G188" s="597"/>
      <c r="H188" s="597"/>
      <c r="I188" s="597"/>
      <c r="J188" s="598"/>
      <c r="K188" s="596"/>
      <c r="L188" s="597"/>
      <c r="M188" s="597"/>
      <c r="N188" s="597"/>
      <c r="O188" s="596"/>
      <c r="P188" s="599"/>
      <c r="Q188" s="597"/>
      <c r="R188" s="600"/>
      <c r="S188"/>
      <c r="T188"/>
      <c r="U188"/>
      <c r="V188"/>
    </row>
    <row r="189" spans="1:22">
      <c r="A189" s="285"/>
      <c r="B189" s="264"/>
      <c r="C189" s="281"/>
      <c r="D189" s="282"/>
      <c r="E189" s="282"/>
      <c r="F189" s="282"/>
      <c r="G189" s="282"/>
      <c r="H189" s="282"/>
      <c r="I189" s="282"/>
      <c r="J189" s="283"/>
      <c r="K189" s="281"/>
      <c r="L189" s="282"/>
      <c r="M189" s="282"/>
      <c r="N189" s="282"/>
      <c r="O189" s="281"/>
      <c r="P189" s="281"/>
      <c r="Q189" s="282"/>
      <c r="R189" s="284"/>
      <c r="S189"/>
      <c r="T189"/>
      <c r="U189"/>
      <c r="V189"/>
    </row>
    <row r="190" spans="1:22">
      <c r="A190" s="285"/>
      <c r="B190" s="286"/>
      <c r="C190" s="287"/>
      <c r="D190" s="288"/>
      <c r="E190" s="288"/>
      <c r="F190" s="288"/>
      <c r="G190" s="288"/>
      <c r="H190" s="288"/>
      <c r="I190" s="288"/>
      <c r="J190" s="289"/>
      <c r="K190" s="287"/>
      <c r="L190" s="288"/>
      <c r="M190" s="288"/>
      <c r="N190" s="288"/>
      <c r="O190" s="287"/>
      <c r="P190" s="287"/>
      <c r="Q190" s="288"/>
      <c r="R190" s="290"/>
      <c r="S190"/>
      <c r="T190"/>
      <c r="U190"/>
      <c r="V190"/>
    </row>
    <row r="191" spans="1:22">
      <c r="A191" s="285"/>
      <c r="B191" s="595"/>
      <c r="C191" s="596"/>
      <c r="D191" s="597"/>
      <c r="E191" s="597"/>
      <c r="F191" s="597"/>
      <c r="G191" s="597"/>
      <c r="H191" s="597"/>
      <c r="I191" s="597"/>
      <c r="J191" s="598"/>
      <c r="K191" s="596"/>
      <c r="L191" s="597"/>
      <c r="M191" s="597"/>
      <c r="N191" s="597"/>
      <c r="O191" s="596"/>
      <c r="P191" s="599"/>
      <c r="Q191" s="597"/>
      <c r="R191" s="600"/>
      <c r="S191"/>
      <c r="T191"/>
      <c r="U191"/>
      <c r="V191"/>
    </row>
    <row r="192" spans="1:22">
      <c r="A192" s="285"/>
      <c r="B192" s="264"/>
      <c r="C192" s="281"/>
      <c r="D192" s="282"/>
      <c r="E192" s="282"/>
      <c r="F192" s="282"/>
      <c r="G192" s="282"/>
      <c r="H192" s="282"/>
      <c r="I192" s="282"/>
      <c r="J192" s="283"/>
      <c r="K192" s="281"/>
      <c r="L192" s="282"/>
      <c r="M192" s="282"/>
      <c r="N192" s="282"/>
      <c r="O192" s="281"/>
      <c r="P192" s="281"/>
      <c r="Q192" s="282"/>
      <c r="R192" s="284"/>
      <c r="S192"/>
      <c r="T192"/>
      <c r="U192"/>
      <c r="V192"/>
    </row>
    <row r="193" spans="1:22">
      <c r="A193" s="285"/>
      <c r="B193" s="286"/>
      <c r="C193" s="287"/>
      <c r="D193" s="288"/>
      <c r="E193" s="288"/>
      <c r="F193" s="288"/>
      <c r="G193" s="288"/>
      <c r="H193" s="288"/>
      <c r="I193" s="288"/>
      <c r="J193" s="289"/>
      <c r="K193" s="287"/>
      <c r="L193" s="288"/>
      <c r="M193" s="288"/>
      <c r="N193" s="288"/>
      <c r="O193" s="287"/>
      <c r="P193" s="287"/>
      <c r="Q193" s="288"/>
      <c r="R193" s="290"/>
      <c r="S193"/>
      <c r="T193"/>
      <c r="U193"/>
      <c r="V193"/>
    </row>
    <row r="194" spans="1:22">
      <c r="A194" s="285"/>
      <c r="B194" s="595"/>
      <c r="C194" s="596"/>
      <c r="D194" s="597"/>
      <c r="E194" s="597"/>
      <c r="F194" s="597"/>
      <c r="G194" s="597"/>
      <c r="H194" s="597"/>
      <c r="I194" s="597"/>
      <c r="J194" s="598"/>
      <c r="K194" s="596"/>
      <c r="L194" s="597"/>
      <c r="M194" s="597"/>
      <c r="N194" s="597"/>
      <c r="O194" s="596"/>
      <c r="P194" s="599"/>
      <c r="Q194" s="597"/>
      <c r="R194" s="600"/>
      <c r="S194"/>
      <c r="T194"/>
      <c r="U194"/>
      <c r="V194"/>
    </row>
    <row r="195" spans="1:22">
      <c r="A195" s="285"/>
      <c r="B195" s="264"/>
      <c r="C195" s="281"/>
      <c r="D195" s="282"/>
      <c r="E195" s="282"/>
      <c r="F195" s="282"/>
      <c r="G195" s="282"/>
      <c r="H195" s="282"/>
      <c r="I195" s="282"/>
      <c r="J195" s="283"/>
      <c r="K195" s="281"/>
      <c r="L195" s="282"/>
      <c r="M195" s="282"/>
      <c r="N195" s="282"/>
      <c r="O195" s="281"/>
      <c r="P195" s="281"/>
      <c r="Q195" s="282"/>
      <c r="R195" s="284"/>
      <c r="S195"/>
      <c r="T195"/>
      <c r="U195"/>
      <c r="V195"/>
    </row>
    <row r="196" spans="1:22">
      <c r="A196" s="285"/>
      <c r="B196" s="286"/>
      <c r="C196" s="287"/>
      <c r="D196" s="288"/>
      <c r="E196" s="288"/>
      <c r="F196" s="288"/>
      <c r="G196" s="288"/>
      <c r="H196" s="288"/>
      <c r="I196" s="288"/>
      <c r="J196" s="289"/>
      <c r="K196" s="287"/>
      <c r="L196" s="288"/>
      <c r="M196" s="288"/>
      <c r="N196" s="288"/>
      <c r="O196" s="287"/>
      <c r="P196" s="287"/>
      <c r="Q196" s="288"/>
      <c r="R196" s="290"/>
      <c r="S196"/>
      <c r="T196"/>
      <c r="U196"/>
      <c r="V196"/>
    </row>
    <row r="197" spans="1:22">
      <c r="A197" s="285"/>
      <c r="B197" s="595"/>
      <c r="C197" s="596"/>
      <c r="D197" s="597"/>
      <c r="E197" s="597"/>
      <c r="F197" s="597"/>
      <c r="G197" s="597"/>
      <c r="H197" s="597"/>
      <c r="I197" s="597"/>
      <c r="J197" s="598"/>
      <c r="K197" s="596"/>
      <c r="L197" s="597"/>
      <c r="M197" s="597"/>
      <c r="N197" s="597"/>
      <c r="O197" s="596"/>
      <c r="P197" s="599"/>
      <c r="Q197" s="597"/>
      <c r="R197" s="600"/>
      <c r="S197"/>
      <c r="T197"/>
      <c r="U197"/>
      <c r="V197"/>
    </row>
    <row r="198" spans="1:22">
      <c r="A198" s="285"/>
      <c r="B198" s="264"/>
      <c r="C198" s="281"/>
      <c r="D198" s="282"/>
      <c r="E198" s="282"/>
      <c r="F198" s="282"/>
      <c r="G198" s="282"/>
      <c r="H198" s="282"/>
      <c r="I198" s="282"/>
      <c r="J198" s="283"/>
      <c r="K198" s="281"/>
      <c r="L198" s="282"/>
      <c r="M198" s="282"/>
      <c r="N198" s="282"/>
      <c r="O198" s="281"/>
      <c r="P198" s="281"/>
      <c r="Q198" s="282"/>
      <c r="R198" s="284"/>
      <c r="S198"/>
      <c r="T198"/>
      <c r="U198"/>
      <c r="V198"/>
    </row>
    <row r="199" spans="1:22">
      <c r="A199" s="285"/>
      <c r="B199" s="286"/>
      <c r="C199" s="287"/>
      <c r="D199" s="288"/>
      <c r="E199" s="288"/>
      <c r="F199" s="288"/>
      <c r="G199" s="288"/>
      <c r="H199" s="288"/>
      <c r="I199" s="288"/>
      <c r="J199" s="289"/>
      <c r="K199" s="287"/>
      <c r="L199" s="288"/>
      <c r="M199" s="288"/>
      <c r="N199" s="288"/>
      <c r="O199" s="287"/>
      <c r="P199" s="287"/>
      <c r="Q199" s="288"/>
      <c r="R199" s="290"/>
      <c r="S199"/>
      <c r="T199"/>
      <c r="U199"/>
      <c r="V199"/>
    </row>
    <row r="200" spans="1:22">
      <c r="A200" s="285"/>
      <c r="B200" s="595"/>
      <c r="C200" s="596"/>
      <c r="D200" s="597"/>
      <c r="E200" s="597"/>
      <c r="F200" s="597"/>
      <c r="G200" s="597"/>
      <c r="H200" s="597"/>
      <c r="I200" s="597"/>
      <c r="J200" s="598"/>
      <c r="K200" s="596"/>
      <c r="L200" s="597"/>
      <c r="M200" s="597"/>
      <c r="N200" s="597"/>
      <c r="O200" s="596"/>
      <c r="P200" s="599"/>
      <c r="Q200" s="597"/>
      <c r="R200" s="600"/>
      <c r="S200"/>
      <c r="T200"/>
      <c r="U200"/>
      <c r="V200"/>
    </row>
    <row r="201" spans="1:22">
      <c r="A201" s="285"/>
      <c r="B201" s="264"/>
      <c r="C201" s="281"/>
      <c r="D201" s="282"/>
      <c r="E201" s="282"/>
      <c r="F201" s="282"/>
      <c r="G201" s="282"/>
      <c r="H201" s="282"/>
      <c r="I201" s="282"/>
      <c r="J201" s="283"/>
      <c r="K201" s="281"/>
      <c r="L201" s="282"/>
      <c r="M201" s="282"/>
      <c r="N201" s="282"/>
      <c r="O201" s="281"/>
      <c r="P201" s="281"/>
      <c r="Q201" s="282"/>
      <c r="R201" s="284"/>
      <c r="S201"/>
      <c r="T201"/>
      <c r="U201"/>
      <c r="V201"/>
    </row>
    <row r="202" spans="1:22">
      <c r="A202" s="285"/>
      <c r="B202" s="286"/>
      <c r="C202" s="287"/>
      <c r="D202" s="288"/>
      <c r="E202" s="288"/>
      <c r="F202" s="288"/>
      <c r="G202" s="288"/>
      <c r="H202" s="288"/>
      <c r="I202" s="288"/>
      <c r="J202" s="289"/>
      <c r="K202" s="287"/>
      <c r="L202" s="288"/>
      <c r="M202" s="288"/>
      <c r="N202" s="288"/>
      <c r="O202" s="287"/>
      <c r="P202" s="287"/>
      <c r="Q202" s="288"/>
      <c r="R202" s="290"/>
      <c r="S202"/>
      <c r="T202"/>
      <c r="U202"/>
      <c r="V202"/>
    </row>
    <row r="203" spans="1:22">
      <c r="A203" s="285"/>
      <c r="B203" s="595"/>
      <c r="C203" s="596"/>
      <c r="D203" s="597"/>
      <c r="E203" s="597"/>
      <c r="F203" s="597"/>
      <c r="G203" s="597"/>
      <c r="H203" s="597"/>
      <c r="I203" s="597"/>
      <c r="J203" s="598"/>
      <c r="K203" s="596"/>
      <c r="L203" s="597"/>
      <c r="M203" s="597"/>
      <c r="N203" s="597"/>
      <c r="O203" s="596"/>
      <c r="P203" s="599"/>
      <c r="Q203" s="597"/>
      <c r="R203" s="600"/>
      <c r="S203"/>
      <c r="T203"/>
      <c r="U203"/>
      <c r="V203"/>
    </row>
    <row r="204" spans="1:22">
      <c r="A204" s="285"/>
      <c r="B204" s="264"/>
      <c r="C204" s="281"/>
      <c r="D204" s="282"/>
      <c r="E204" s="282"/>
      <c r="F204" s="282"/>
      <c r="G204" s="282"/>
      <c r="H204" s="282"/>
      <c r="I204" s="282"/>
      <c r="J204" s="283"/>
      <c r="K204" s="281"/>
      <c r="L204" s="282"/>
      <c r="M204" s="282"/>
      <c r="N204" s="282"/>
      <c r="O204" s="281"/>
      <c r="P204" s="281"/>
      <c r="Q204" s="282"/>
      <c r="R204" s="284"/>
      <c r="S204"/>
      <c r="T204"/>
      <c r="U204"/>
      <c r="V204"/>
    </row>
    <row r="205" spans="1:22">
      <c r="A205" s="285"/>
      <c r="B205" s="286"/>
      <c r="C205" s="287"/>
      <c r="D205" s="288"/>
      <c r="E205" s="288"/>
      <c r="F205" s="288"/>
      <c r="G205" s="288"/>
      <c r="H205" s="288"/>
      <c r="I205" s="288"/>
      <c r="J205" s="289"/>
      <c r="K205" s="287"/>
      <c r="L205" s="288"/>
      <c r="M205" s="288"/>
      <c r="N205" s="288"/>
      <c r="O205" s="287"/>
      <c r="P205" s="287"/>
      <c r="Q205" s="288"/>
      <c r="R205" s="290"/>
      <c r="S205"/>
      <c r="T205"/>
      <c r="U205"/>
      <c r="V205"/>
    </row>
    <row r="206" spans="1:22">
      <c r="A206" s="285"/>
      <c r="B206" s="595"/>
      <c r="C206" s="596"/>
      <c r="D206" s="597"/>
      <c r="E206" s="597"/>
      <c r="F206" s="597"/>
      <c r="G206" s="597"/>
      <c r="H206" s="597"/>
      <c r="I206" s="597"/>
      <c r="J206" s="598"/>
      <c r="K206" s="596"/>
      <c r="L206" s="597"/>
      <c r="M206" s="597"/>
      <c r="N206" s="597"/>
      <c r="O206" s="596"/>
      <c r="P206" s="599"/>
      <c r="Q206" s="597"/>
      <c r="R206" s="600"/>
      <c r="S206"/>
      <c r="T206"/>
      <c r="U206"/>
      <c r="V206"/>
    </row>
    <row r="207" spans="1:22">
      <c r="A207" s="285"/>
      <c r="B207" s="264"/>
      <c r="C207" s="281"/>
      <c r="D207" s="282"/>
      <c r="E207" s="282"/>
      <c r="F207" s="282"/>
      <c r="G207" s="282"/>
      <c r="H207" s="282"/>
      <c r="I207" s="282"/>
      <c r="J207" s="283"/>
      <c r="K207" s="281"/>
      <c r="L207" s="282"/>
      <c r="M207" s="282"/>
      <c r="N207" s="282"/>
      <c r="O207" s="281"/>
      <c r="P207" s="281"/>
      <c r="Q207" s="282"/>
      <c r="R207" s="284"/>
      <c r="S207"/>
      <c r="T207"/>
      <c r="U207"/>
      <c r="V207"/>
    </row>
    <row r="208" spans="1:22">
      <c r="A208" s="285"/>
      <c r="B208" s="286"/>
      <c r="C208" s="287"/>
      <c r="D208" s="288"/>
      <c r="E208" s="288"/>
      <c r="F208" s="288"/>
      <c r="G208" s="288"/>
      <c r="H208" s="288"/>
      <c r="I208" s="288"/>
      <c r="J208" s="289"/>
      <c r="K208" s="287"/>
      <c r="L208" s="288"/>
      <c r="M208" s="288"/>
      <c r="N208" s="288"/>
      <c r="O208" s="287"/>
      <c r="P208" s="287"/>
      <c r="Q208" s="288"/>
      <c r="R208" s="290"/>
      <c r="S208"/>
      <c r="T208"/>
      <c r="U208"/>
      <c r="V208"/>
    </row>
    <row r="209" spans="1:22">
      <c r="A209" s="285"/>
      <c r="B209" s="595"/>
      <c r="C209" s="596"/>
      <c r="D209" s="597"/>
      <c r="E209" s="597"/>
      <c r="F209" s="597"/>
      <c r="G209" s="597"/>
      <c r="H209" s="597"/>
      <c r="I209" s="597"/>
      <c r="J209" s="598"/>
      <c r="K209" s="596"/>
      <c r="L209" s="597"/>
      <c r="M209" s="597"/>
      <c r="N209" s="597"/>
      <c r="O209" s="596"/>
      <c r="P209" s="599"/>
      <c r="Q209" s="597"/>
      <c r="R209" s="600"/>
      <c r="S209"/>
      <c r="T209"/>
      <c r="U209"/>
      <c r="V209"/>
    </row>
    <row r="210" spans="1:22">
      <c r="A210" s="285"/>
      <c r="B210" s="264"/>
      <c r="C210" s="281"/>
      <c r="D210" s="282"/>
      <c r="E210" s="282"/>
      <c r="F210" s="282"/>
      <c r="G210" s="282"/>
      <c r="H210" s="282"/>
      <c r="I210" s="282"/>
      <c r="J210" s="283"/>
      <c r="K210" s="281"/>
      <c r="L210" s="282"/>
      <c r="M210" s="282"/>
      <c r="N210" s="282"/>
      <c r="O210" s="281"/>
      <c r="P210" s="281"/>
      <c r="Q210" s="282"/>
      <c r="R210" s="284"/>
      <c r="S210"/>
      <c r="T210"/>
      <c r="U210"/>
      <c r="V210"/>
    </row>
    <row r="211" spans="1:22">
      <c r="A211" s="285"/>
      <c r="B211" s="286"/>
      <c r="C211" s="287"/>
      <c r="D211" s="288"/>
      <c r="E211" s="288"/>
      <c r="F211" s="288"/>
      <c r="G211" s="288"/>
      <c r="H211" s="288"/>
      <c r="I211" s="288"/>
      <c r="J211" s="289"/>
      <c r="K211" s="287"/>
      <c r="L211" s="288"/>
      <c r="M211" s="288"/>
      <c r="N211" s="288"/>
      <c r="O211" s="287"/>
      <c r="P211" s="287"/>
      <c r="Q211" s="288"/>
      <c r="R211" s="290"/>
      <c r="S211"/>
      <c r="T211"/>
      <c r="U211"/>
      <c r="V211"/>
    </row>
    <row r="212" spans="1:22">
      <c r="A212" s="285"/>
      <c r="B212" s="595"/>
      <c r="C212" s="596"/>
      <c r="D212" s="597"/>
      <c r="E212" s="597"/>
      <c r="F212" s="597"/>
      <c r="G212" s="597"/>
      <c r="H212" s="597"/>
      <c r="I212" s="597"/>
      <c r="J212" s="598"/>
      <c r="K212" s="596"/>
      <c r="L212" s="597"/>
      <c r="M212" s="597"/>
      <c r="N212" s="597"/>
      <c r="O212" s="596"/>
      <c r="P212" s="599"/>
      <c r="Q212" s="597"/>
      <c r="R212" s="600"/>
      <c r="S212"/>
      <c r="T212"/>
      <c r="U212"/>
      <c r="V212"/>
    </row>
    <row r="213" spans="1:22">
      <c r="A213" s="285"/>
      <c r="B213" s="264"/>
      <c r="C213" s="281"/>
      <c r="D213" s="282"/>
      <c r="E213" s="282"/>
      <c r="F213" s="282"/>
      <c r="G213" s="282"/>
      <c r="H213" s="282"/>
      <c r="I213" s="282"/>
      <c r="J213" s="283"/>
      <c r="K213" s="281"/>
      <c r="L213" s="282"/>
      <c r="M213" s="282"/>
      <c r="N213" s="282"/>
      <c r="O213" s="281"/>
      <c r="P213" s="281"/>
      <c r="Q213" s="282"/>
      <c r="R213" s="284"/>
      <c r="S213"/>
      <c r="T213"/>
      <c r="U213"/>
      <c r="V213"/>
    </row>
    <row r="214" spans="1:22">
      <c r="A214" s="285"/>
      <c r="B214" s="286"/>
      <c r="C214" s="287"/>
      <c r="D214" s="288"/>
      <c r="E214" s="288"/>
      <c r="F214" s="288"/>
      <c r="G214" s="288"/>
      <c r="H214" s="288"/>
      <c r="I214" s="288"/>
      <c r="J214" s="289"/>
      <c r="K214" s="287"/>
      <c r="L214" s="288"/>
      <c r="M214" s="288"/>
      <c r="N214" s="288"/>
      <c r="O214" s="287"/>
      <c r="P214" s="287"/>
      <c r="Q214" s="288"/>
      <c r="R214" s="290"/>
      <c r="S214"/>
      <c r="T214"/>
      <c r="U214"/>
      <c r="V214"/>
    </row>
    <row r="215" spans="1:22">
      <c r="A215" s="285"/>
      <c r="B215" s="595"/>
      <c r="C215" s="596"/>
      <c r="D215" s="597"/>
      <c r="E215" s="597"/>
      <c r="F215" s="597"/>
      <c r="G215" s="597"/>
      <c r="H215" s="597"/>
      <c r="I215" s="597"/>
      <c r="J215" s="598"/>
      <c r="K215" s="596"/>
      <c r="L215" s="597"/>
      <c r="M215" s="597"/>
      <c r="N215" s="597"/>
      <c r="O215" s="596"/>
      <c r="P215" s="599"/>
      <c r="Q215" s="597"/>
      <c r="R215" s="600"/>
      <c r="S215"/>
      <c r="T215"/>
      <c r="U215"/>
      <c r="V215"/>
    </row>
    <row r="216" spans="1:22">
      <c r="A216" s="285"/>
      <c r="B216" s="264"/>
      <c r="C216" s="281"/>
      <c r="D216" s="282"/>
      <c r="E216" s="282"/>
      <c r="F216" s="282"/>
      <c r="G216" s="282"/>
      <c r="H216" s="282"/>
      <c r="I216" s="282"/>
      <c r="J216" s="283"/>
      <c r="K216" s="281"/>
      <c r="L216" s="282"/>
      <c r="M216" s="282"/>
      <c r="N216" s="282"/>
      <c r="O216" s="281"/>
      <c r="P216" s="281"/>
      <c r="Q216" s="282"/>
      <c r="R216" s="284"/>
      <c r="S216"/>
      <c r="T216"/>
      <c r="U216"/>
      <c r="V216"/>
    </row>
    <row r="217" spans="1:22">
      <c r="A217" s="285"/>
      <c r="B217" s="286"/>
      <c r="C217" s="287"/>
      <c r="D217" s="288"/>
      <c r="E217" s="288"/>
      <c r="F217" s="288"/>
      <c r="G217" s="288"/>
      <c r="H217" s="288"/>
      <c r="I217" s="288"/>
      <c r="J217" s="289"/>
      <c r="K217" s="287"/>
      <c r="L217" s="288"/>
      <c r="M217" s="288"/>
      <c r="N217" s="288"/>
      <c r="O217" s="287"/>
      <c r="P217" s="287"/>
      <c r="Q217" s="288"/>
      <c r="R217" s="290"/>
      <c r="S217"/>
      <c r="T217"/>
      <c r="U217"/>
      <c r="V217"/>
    </row>
    <row r="218" spans="1:22">
      <c r="A218" s="285"/>
      <c r="B218" s="595"/>
      <c r="C218" s="596"/>
      <c r="D218" s="597"/>
      <c r="E218" s="597"/>
      <c r="F218" s="597"/>
      <c r="G218" s="597"/>
      <c r="H218" s="597"/>
      <c r="I218" s="597"/>
      <c r="J218" s="598"/>
      <c r="K218" s="596"/>
      <c r="L218" s="597"/>
      <c r="M218" s="597"/>
      <c r="N218" s="597"/>
      <c r="O218" s="596"/>
      <c r="P218" s="599"/>
      <c r="Q218" s="597"/>
      <c r="R218" s="600"/>
      <c r="S218"/>
      <c r="T218"/>
      <c r="U218"/>
      <c r="V218"/>
    </row>
    <row r="219" spans="1:22">
      <c r="A219" s="285"/>
      <c r="B219" s="264"/>
      <c r="C219" s="281"/>
      <c r="D219" s="282"/>
      <c r="E219" s="282"/>
      <c r="F219" s="282"/>
      <c r="G219" s="282"/>
      <c r="H219" s="282"/>
      <c r="I219" s="282"/>
      <c r="J219" s="283"/>
      <c r="K219" s="281"/>
      <c r="L219" s="282"/>
      <c r="M219" s="282"/>
      <c r="N219" s="282"/>
      <c r="O219" s="281"/>
      <c r="P219" s="281"/>
      <c r="Q219" s="282"/>
      <c r="R219" s="284"/>
      <c r="S219"/>
      <c r="T219"/>
      <c r="U219"/>
      <c r="V219"/>
    </row>
    <row r="220" spans="1:22">
      <c r="A220" s="285"/>
      <c r="B220" s="286"/>
      <c r="C220" s="287"/>
      <c r="D220" s="288"/>
      <c r="E220" s="288"/>
      <c r="F220" s="288"/>
      <c r="G220" s="288"/>
      <c r="H220" s="288"/>
      <c r="I220" s="288"/>
      <c r="J220" s="289"/>
      <c r="K220" s="287"/>
      <c r="L220" s="288"/>
      <c r="M220" s="288"/>
      <c r="N220" s="288"/>
      <c r="O220" s="287"/>
      <c r="P220" s="287"/>
      <c r="Q220" s="288"/>
      <c r="R220" s="290"/>
      <c r="S220"/>
      <c r="T220"/>
      <c r="U220"/>
      <c r="V220"/>
    </row>
    <row r="221" spans="1:22">
      <c r="A221" s="292"/>
      <c r="B221" s="595"/>
      <c r="C221" s="596"/>
      <c r="D221" s="597"/>
      <c r="E221" s="597"/>
      <c r="F221" s="597"/>
      <c r="G221" s="597"/>
      <c r="H221" s="597"/>
      <c r="I221" s="597"/>
      <c r="J221" s="598"/>
      <c r="K221" s="596"/>
      <c r="L221" s="597"/>
      <c r="M221" s="597"/>
      <c r="N221" s="597"/>
      <c r="O221" s="596"/>
      <c r="P221" s="599"/>
      <c r="Q221" s="597"/>
      <c r="R221" s="600"/>
      <c r="S221"/>
      <c r="T221"/>
      <c r="U221"/>
      <c r="V221"/>
    </row>
    <row r="222" spans="1:22">
      <c r="A222" s="280"/>
      <c r="B222" s="264"/>
      <c r="C222" s="281"/>
      <c r="D222" s="282"/>
      <c r="E222" s="282"/>
      <c r="F222" s="282"/>
      <c r="G222" s="282"/>
      <c r="H222" s="282"/>
      <c r="I222" s="282"/>
      <c r="J222" s="283"/>
      <c r="K222" s="281"/>
      <c r="L222" s="282"/>
      <c r="M222" s="282"/>
      <c r="N222" s="282"/>
      <c r="O222" s="281"/>
      <c r="P222" s="281"/>
      <c r="Q222" s="282"/>
      <c r="R222" s="284"/>
      <c r="S222"/>
      <c r="T222"/>
      <c r="U222"/>
      <c r="V222"/>
    </row>
    <row r="223" spans="1:22">
      <c r="A223" s="285"/>
      <c r="B223" s="286"/>
      <c r="C223" s="287"/>
      <c r="D223" s="288"/>
      <c r="E223" s="288"/>
      <c r="F223" s="288"/>
      <c r="G223" s="288"/>
      <c r="H223" s="288"/>
      <c r="I223" s="288"/>
      <c r="J223" s="289"/>
      <c r="K223" s="287"/>
      <c r="L223" s="288"/>
      <c r="M223" s="288"/>
      <c r="N223" s="288"/>
      <c r="O223" s="287"/>
      <c r="P223" s="287"/>
      <c r="Q223" s="288"/>
      <c r="R223" s="290"/>
      <c r="S223"/>
      <c r="T223"/>
      <c r="U223"/>
      <c r="V223"/>
    </row>
    <row r="224" spans="1:22">
      <c r="A224" s="285"/>
      <c r="B224" s="595"/>
      <c r="C224" s="596"/>
      <c r="D224" s="597"/>
      <c r="E224" s="597"/>
      <c r="F224" s="597"/>
      <c r="G224" s="597"/>
      <c r="H224" s="597"/>
      <c r="I224" s="597"/>
      <c r="J224" s="598"/>
      <c r="K224" s="596"/>
      <c r="L224" s="597"/>
      <c r="M224" s="597"/>
      <c r="N224" s="597"/>
      <c r="O224" s="596"/>
      <c r="P224" s="599"/>
      <c r="Q224" s="597"/>
      <c r="R224" s="600"/>
      <c r="S224"/>
      <c r="T224"/>
      <c r="U224"/>
      <c r="V224"/>
    </row>
    <row r="225" spans="1:22">
      <c r="A225" s="285"/>
      <c r="B225" s="264"/>
      <c r="C225" s="281"/>
      <c r="D225" s="282"/>
      <c r="E225" s="282"/>
      <c r="F225" s="282"/>
      <c r="G225" s="282"/>
      <c r="H225" s="282"/>
      <c r="I225" s="282"/>
      <c r="J225" s="283"/>
      <c r="K225" s="281"/>
      <c r="L225" s="282"/>
      <c r="M225" s="282"/>
      <c r="N225" s="282"/>
      <c r="O225" s="281"/>
      <c r="P225" s="281"/>
      <c r="Q225" s="282"/>
      <c r="R225" s="284"/>
      <c r="S225"/>
      <c r="T225"/>
      <c r="U225"/>
      <c r="V225"/>
    </row>
    <row r="226" spans="1:22">
      <c r="A226" s="285"/>
      <c r="B226" s="286"/>
      <c r="C226" s="287"/>
      <c r="D226" s="288"/>
      <c r="E226" s="288"/>
      <c r="F226" s="288"/>
      <c r="G226" s="288"/>
      <c r="H226" s="288"/>
      <c r="I226" s="288"/>
      <c r="J226" s="289"/>
      <c r="K226" s="287"/>
      <c r="L226" s="288"/>
      <c r="M226" s="288"/>
      <c r="N226" s="288"/>
      <c r="O226" s="287"/>
      <c r="P226" s="287"/>
      <c r="Q226" s="288"/>
      <c r="R226" s="290"/>
      <c r="S226"/>
      <c r="T226"/>
      <c r="U226"/>
      <c r="V226"/>
    </row>
    <row r="227" spans="1:22">
      <c r="A227" s="285"/>
      <c r="B227" s="595"/>
      <c r="C227" s="596"/>
      <c r="D227" s="597"/>
      <c r="E227" s="597"/>
      <c r="F227" s="597"/>
      <c r="G227" s="597"/>
      <c r="H227" s="597"/>
      <c r="I227" s="597"/>
      <c r="J227" s="598"/>
      <c r="K227" s="596"/>
      <c r="L227" s="597"/>
      <c r="M227" s="597"/>
      <c r="N227" s="597"/>
      <c r="O227" s="596"/>
      <c r="P227" s="599"/>
      <c r="Q227" s="597"/>
      <c r="R227" s="600"/>
      <c r="S227"/>
      <c r="T227"/>
      <c r="U227"/>
      <c r="V227"/>
    </row>
    <row r="228" spans="1:22">
      <c r="A228" s="285"/>
      <c r="B228" s="264"/>
      <c r="C228" s="281"/>
      <c r="D228" s="282"/>
      <c r="E228" s="282"/>
      <c r="F228" s="282"/>
      <c r="G228" s="282"/>
      <c r="H228" s="282"/>
      <c r="I228" s="282"/>
      <c r="J228" s="283"/>
      <c r="K228" s="281"/>
      <c r="L228" s="282"/>
      <c r="M228" s="282"/>
      <c r="N228" s="282"/>
      <c r="O228" s="281"/>
      <c r="P228" s="281"/>
      <c r="Q228" s="282"/>
      <c r="R228" s="284"/>
      <c r="S228"/>
      <c r="T228"/>
      <c r="U228"/>
      <c r="V228"/>
    </row>
    <row r="229" spans="1:22">
      <c r="A229" s="285"/>
      <c r="B229" s="286"/>
      <c r="C229" s="287"/>
      <c r="D229" s="288"/>
      <c r="E229" s="288"/>
      <c r="F229" s="288"/>
      <c r="G229" s="288"/>
      <c r="H229" s="288"/>
      <c r="I229" s="288"/>
      <c r="J229" s="289"/>
      <c r="K229" s="287"/>
      <c r="L229" s="288"/>
      <c r="M229" s="288"/>
      <c r="N229" s="288"/>
      <c r="O229" s="287"/>
      <c r="P229" s="287"/>
      <c r="Q229" s="288"/>
      <c r="R229" s="290"/>
      <c r="S229"/>
      <c r="T229"/>
      <c r="U229"/>
      <c r="V229"/>
    </row>
    <row r="230" spans="1:22">
      <c r="A230" s="285"/>
      <c r="B230" s="595"/>
      <c r="C230" s="596"/>
      <c r="D230" s="597"/>
      <c r="E230" s="597"/>
      <c r="F230" s="597"/>
      <c r="G230" s="597"/>
      <c r="H230" s="597"/>
      <c r="I230" s="597"/>
      <c r="J230" s="598"/>
      <c r="K230" s="596"/>
      <c r="L230" s="597"/>
      <c r="M230" s="597"/>
      <c r="N230" s="597"/>
      <c r="O230" s="596"/>
      <c r="P230" s="599"/>
      <c r="Q230" s="597"/>
      <c r="R230" s="600"/>
      <c r="S230"/>
      <c r="T230"/>
      <c r="U230"/>
      <c r="V230"/>
    </row>
    <row r="231" spans="1:22">
      <c r="A231" s="285"/>
      <c r="B231" s="264"/>
      <c r="C231" s="281"/>
      <c r="D231" s="282"/>
      <c r="E231" s="282"/>
      <c r="F231" s="282"/>
      <c r="G231" s="282"/>
      <c r="H231" s="282"/>
      <c r="I231" s="282"/>
      <c r="J231" s="283"/>
      <c r="K231" s="281"/>
      <c r="L231" s="282"/>
      <c r="M231" s="282"/>
      <c r="N231" s="282"/>
      <c r="O231" s="281"/>
      <c r="P231" s="281"/>
      <c r="Q231" s="282"/>
      <c r="R231" s="284"/>
      <c r="S231"/>
      <c r="T231"/>
      <c r="U231"/>
      <c r="V231"/>
    </row>
    <row r="232" spans="1:22">
      <c r="A232" s="285"/>
      <c r="B232" s="286"/>
      <c r="C232" s="287"/>
      <c r="D232" s="288"/>
      <c r="E232" s="288"/>
      <c r="F232" s="288"/>
      <c r="G232" s="288"/>
      <c r="H232" s="288"/>
      <c r="I232" s="288"/>
      <c r="J232" s="289"/>
      <c r="K232" s="287"/>
      <c r="L232" s="288"/>
      <c r="M232" s="288"/>
      <c r="N232" s="288"/>
      <c r="O232" s="287"/>
      <c r="P232" s="287"/>
      <c r="Q232" s="288"/>
      <c r="R232" s="290"/>
      <c r="S232"/>
      <c r="T232"/>
      <c r="U232"/>
      <c r="V232"/>
    </row>
    <row r="233" spans="1:22">
      <c r="A233" s="285"/>
      <c r="B233" s="595"/>
      <c r="C233" s="596"/>
      <c r="D233" s="597"/>
      <c r="E233" s="597"/>
      <c r="F233" s="597"/>
      <c r="G233" s="597"/>
      <c r="H233" s="597"/>
      <c r="I233" s="597"/>
      <c r="J233" s="598"/>
      <c r="K233" s="596"/>
      <c r="L233" s="597"/>
      <c r="M233" s="597"/>
      <c r="N233" s="597"/>
      <c r="O233" s="596"/>
      <c r="P233" s="599"/>
      <c r="Q233" s="597"/>
      <c r="R233" s="600"/>
      <c r="S233"/>
      <c r="T233"/>
      <c r="U233"/>
      <c r="V233"/>
    </row>
    <row r="234" spans="1:22">
      <c r="A234" s="285"/>
      <c r="B234" s="264"/>
      <c r="C234" s="281"/>
      <c r="D234" s="282"/>
      <c r="E234" s="282"/>
      <c r="F234" s="282"/>
      <c r="G234" s="282"/>
      <c r="H234" s="282"/>
      <c r="I234" s="282"/>
      <c r="J234" s="283"/>
      <c r="K234" s="281"/>
      <c r="L234" s="282"/>
      <c r="M234" s="282"/>
      <c r="N234" s="282"/>
      <c r="O234" s="281"/>
      <c r="P234" s="281"/>
      <c r="Q234" s="282"/>
      <c r="R234" s="284"/>
      <c r="S234"/>
      <c r="T234"/>
      <c r="U234"/>
      <c r="V234"/>
    </row>
    <row r="235" spans="1:22">
      <c r="A235" s="285"/>
      <c r="B235" s="286"/>
      <c r="C235" s="287"/>
      <c r="D235" s="288"/>
      <c r="E235" s="288"/>
      <c r="F235" s="288"/>
      <c r="G235" s="288"/>
      <c r="H235" s="288"/>
      <c r="I235" s="288"/>
      <c r="J235" s="289"/>
      <c r="K235" s="287"/>
      <c r="L235" s="288"/>
      <c r="M235" s="288"/>
      <c r="N235" s="288"/>
      <c r="O235" s="287"/>
      <c r="P235" s="287"/>
      <c r="Q235" s="288"/>
      <c r="R235" s="290"/>
      <c r="S235"/>
      <c r="T235"/>
      <c r="U235"/>
      <c r="V235"/>
    </row>
    <row r="236" spans="1:22">
      <c r="A236" s="285"/>
      <c r="B236" s="595"/>
      <c r="C236" s="596"/>
      <c r="D236" s="597"/>
      <c r="E236" s="597"/>
      <c r="F236" s="597"/>
      <c r="G236" s="597"/>
      <c r="H236" s="597"/>
      <c r="I236" s="597"/>
      <c r="J236" s="598"/>
      <c r="K236" s="596"/>
      <c r="L236" s="597"/>
      <c r="M236" s="597"/>
      <c r="N236" s="597"/>
      <c r="O236" s="596"/>
      <c r="P236" s="599"/>
      <c r="Q236" s="597"/>
      <c r="R236" s="600"/>
      <c r="S236"/>
      <c r="T236"/>
      <c r="U236"/>
      <c r="V236"/>
    </row>
    <row r="237" spans="1:22">
      <c r="A237" s="285"/>
      <c r="B237" s="264"/>
      <c r="C237" s="281"/>
      <c r="D237" s="282"/>
      <c r="E237" s="282"/>
      <c r="F237" s="282"/>
      <c r="G237" s="282"/>
      <c r="H237" s="282"/>
      <c r="I237" s="282"/>
      <c r="J237" s="283"/>
      <c r="K237" s="281"/>
      <c r="L237" s="282"/>
      <c r="M237" s="282"/>
      <c r="N237" s="282"/>
      <c r="O237" s="281"/>
      <c r="P237" s="281"/>
      <c r="Q237" s="282"/>
      <c r="R237" s="284"/>
      <c r="S237"/>
      <c r="T237"/>
      <c r="U237"/>
      <c r="V237"/>
    </row>
    <row r="238" spans="1:22">
      <c r="A238" s="285"/>
      <c r="B238" s="286"/>
      <c r="C238" s="287"/>
      <c r="D238" s="288"/>
      <c r="E238" s="288"/>
      <c r="F238" s="288"/>
      <c r="G238" s="288"/>
      <c r="H238" s="288"/>
      <c r="I238" s="288"/>
      <c r="J238" s="289"/>
      <c r="K238" s="287"/>
      <c r="L238" s="288"/>
      <c r="M238" s="288"/>
      <c r="N238" s="288"/>
      <c r="O238" s="287"/>
      <c r="P238" s="287"/>
      <c r="Q238" s="288"/>
      <c r="R238" s="290"/>
      <c r="S238"/>
      <c r="T238"/>
      <c r="U238"/>
      <c r="V238"/>
    </row>
    <row r="239" spans="1:22">
      <c r="A239" s="285"/>
      <c r="B239" s="595"/>
      <c r="C239" s="596"/>
      <c r="D239" s="597"/>
      <c r="E239" s="597"/>
      <c r="F239" s="597"/>
      <c r="G239" s="597"/>
      <c r="H239" s="597"/>
      <c r="I239" s="597"/>
      <c r="J239" s="598"/>
      <c r="K239" s="596"/>
      <c r="L239" s="597"/>
      <c r="M239" s="597"/>
      <c r="N239" s="597"/>
      <c r="O239" s="596"/>
      <c r="P239" s="599"/>
      <c r="Q239" s="597"/>
      <c r="R239" s="600"/>
      <c r="S239"/>
      <c r="T239"/>
      <c r="U239"/>
      <c r="V239"/>
    </row>
    <row r="240" spans="1:22">
      <c r="A240" s="285"/>
      <c r="B240" s="264"/>
      <c r="C240" s="281"/>
      <c r="D240" s="282"/>
      <c r="E240" s="282"/>
      <c r="F240" s="282"/>
      <c r="G240" s="282"/>
      <c r="H240" s="282"/>
      <c r="I240" s="282"/>
      <c r="J240" s="283"/>
      <c r="K240" s="281"/>
      <c r="L240" s="282"/>
      <c r="M240" s="282"/>
      <c r="N240" s="282"/>
      <c r="O240" s="281"/>
      <c r="P240" s="281"/>
      <c r="Q240" s="282"/>
      <c r="R240" s="284"/>
      <c r="S240"/>
      <c r="T240"/>
      <c r="U240"/>
      <c r="V240"/>
    </row>
    <row r="241" spans="1:22">
      <c r="A241" s="285"/>
      <c r="B241" s="286"/>
      <c r="C241" s="287"/>
      <c r="D241" s="288"/>
      <c r="E241" s="288"/>
      <c r="F241" s="288"/>
      <c r="G241" s="288"/>
      <c r="H241" s="288"/>
      <c r="I241" s="288"/>
      <c r="J241" s="289"/>
      <c r="K241" s="287"/>
      <c r="L241" s="288"/>
      <c r="M241" s="288"/>
      <c r="N241" s="288"/>
      <c r="O241" s="287"/>
      <c r="P241" s="287"/>
      <c r="Q241" s="288"/>
      <c r="R241" s="290"/>
      <c r="S241"/>
      <c r="T241"/>
      <c r="U241"/>
      <c r="V241"/>
    </row>
    <row r="242" spans="1:22">
      <c r="A242" s="285"/>
      <c r="B242" s="595"/>
      <c r="C242" s="596"/>
      <c r="D242" s="597"/>
      <c r="E242" s="597"/>
      <c r="F242" s="597"/>
      <c r="G242" s="597"/>
      <c r="H242" s="597"/>
      <c r="I242" s="597"/>
      <c r="J242" s="598"/>
      <c r="K242" s="596"/>
      <c r="L242" s="597"/>
      <c r="M242" s="597"/>
      <c r="N242" s="597"/>
      <c r="O242" s="596"/>
      <c r="P242" s="599"/>
      <c r="Q242" s="597"/>
      <c r="R242" s="600"/>
      <c r="S242"/>
      <c r="T242"/>
      <c r="U242"/>
      <c r="V242"/>
    </row>
    <row r="243" spans="1:22">
      <c r="A243" s="285"/>
      <c r="B243" s="264"/>
      <c r="C243" s="281"/>
      <c r="D243" s="282"/>
      <c r="E243" s="282"/>
      <c r="F243" s="282"/>
      <c r="G243" s="282"/>
      <c r="H243" s="282"/>
      <c r="I243" s="282"/>
      <c r="J243" s="283"/>
      <c r="K243" s="281"/>
      <c r="L243" s="282"/>
      <c r="M243" s="282"/>
      <c r="N243" s="282"/>
      <c r="O243" s="281"/>
      <c r="P243" s="281"/>
      <c r="Q243" s="282"/>
      <c r="R243" s="284"/>
      <c r="S243"/>
      <c r="T243"/>
      <c r="U243"/>
      <c r="V243"/>
    </row>
    <row r="244" spans="1:22">
      <c r="A244" s="285"/>
      <c r="B244" s="286"/>
      <c r="C244" s="287"/>
      <c r="D244" s="288"/>
      <c r="E244" s="288"/>
      <c r="F244" s="288"/>
      <c r="G244" s="288"/>
      <c r="H244" s="288"/>
      <c r="I244" s="288"/>
      <c r="J244" s="289"/>
      <c r="K244" s="287"/>
      <c r="L244" s="288"/>
      <c r="M244" s="288"/>
      <c r="N244" s="288"/>
      <c r="O244" s="287"/>
      <c r="P244" s="287"/>
      <c r="Q244" s="288"/>
      <c r="R244" s="290"/>
      <c r="S244"/>
      <c r="T244"/>
      <c r="U244"/>
      <c r="V244"/>
    </row>
    <row r="245" spans="1:22">
      <c r="A245" s="285"/>
      <c r="B245" s="595"/>
      <c r="C245" s="596"/>
      <c r="D245" s="597"/>
      <c r="E245" s="597"/>
      <c r="F245" s="597"/>
      <c r="G245" s="597"/>
      <c r="H245" s="597"/>
      <c r="I245" s="597"/>
      <c r="J245" s="598"/>
      <c r="K245" s="596"/>
      <c r="L245" s="597"/>
      <c r="M245" s="597"/>
      <c r="N245" s="597"/>
      <c r="O245" s="596"/>
      <c r="P245" s="599"/>
      <c r="Q245" s="597"/>
      <c r="R245" s="600"/>
      <c r="S245"/>
      <c r="T245"/>
      <c r="U245"/>
      <c r="V245"/>
    </row>
    <row r="246" spans="1:22">
      <c r="A246" s="285"/>
      <c r="B246" s="264"/>
      <c r="C246" s="281"/>
      <c r="D246" s="282"/>
      <c r="E246" s="282"/>
      <c r="F246" s="282"/>
      <c r="G246" s="282"/>
      <c r="H246" s="282"/>
      <c r="I246" s="282"/>
      <c r="J246" s="283"/>
      <c r="K246" s="281"/>
      <c r="L246" s="282"/>
      <c r="M246" s="282"/>
      <c r="N246" s="282"/>
      <c r="O246" s="281"/>
      <c r="P246" s="281"/>
      <c r="Q246" s="282"/>
      <c r="R246" s="284"/>
      <c r="S246"/>
      <c r="T246"/>
      <c r="U246"/>
      <c r="V246"/>
    </row>
    <row r="247" spans="1:22">
      <c r="A247" s="285"/>
      <c r="B247" s="286"/>
      <c r="C247" s="287"/>
      <c r="D247" s="288"/>
      <c r="E247" s="288"/>
      <c r="F247" s="288"/>
      <c r="G247" s="288"/>
      <c r="H247" s="288"/>
      <c r="I247" s="288"/>
      <c r="J247" s="289"/>
      <c r="K247" s="287"/>
      <c r="L247" s="288"/>
      <c r="M247" s="288"/>
      <c r="N247" s="288"/>
      <c r="O247" s="287"/>
      <c r="P247" s="287"/>
      <c r="Q247" s="288"/>
      <c r="R247" s="290"/>
      <c r="S247"/>
      <c r="T247"/>
      <c r="U247"/>
      <c r="V247"/>
    </row>
    <row r="248" spans="1:22">
      <c r="A248" s="285"/>
      <c r="B248" s="595"/>
      <c r="C248" s="596"/>
      <c r="D248" s="597"/>
      <c r="E248" s="597"/>
      <c r="F248" s="597"/>
      <c r="G248" s="597"/>
      <c r="H248" s="597"/>
      <c r="I248" s="597"/>
      <c r="J248" s="598"/>
      <c r="K248" s="596"/>
      <c r="L248" s="597"/>
      <c r="M248" s="597"/>
      <c r="N248" s="597"/>
      <c r="O248" s="596"/>
      <c r="P248" s="599"/>
      <c r="Q248" s="597"/>
      <c r="R248" s="600"/>
      <c r="S248"/>
      <c r="T248"/>
      <c r="U248"/>
      <c r="V248"/>
    </row>
    <row r="249" spans="1:22">
      <c r="A249" s="285"/>
      <c r="B249" s="264"/>
      <c r="C249" s="281"/>
      <c r="D249" s="282"/>
      <c r="E249" s="282"/>
      <c r="F249" s="282"/>
      <c r="G249" s="282"/>
      <c r="H249" s="282"/>
      <c r="I249" s="282"/>
      <c r="J249" s="283"/>
      <c r="K249" s="281"/>
      <c r="L249" s="282"/>
      <c r="M249" s="282"/>
      <c r="N249" s="282"/>
      <c r="O249" s="281"/>
      <c r="P249" s="281"/>
      <c r="Q249" s="282"/>
      <c r="R249" s="284"/>
      <c r="S249"/>
      <c r="T249"/>
      <c r="U249"/>
      <c r="V249"/>
    </row>
    <row r="250" spans="1:22">
      <c r="A250" s="285"/>
      <c r="B250" s="286"/>
      <c r="C250" s="287"/>
      <c r="D250" s="288"/>
      <c r="E250" s="288"/>
      <c r="F250" s="288"/>
      <c r="G250" s="288"/>
      <c r="H250" s="288"/>
      <c r="I250" s="288"/>
      <c r="J250" s="289"/>
      <c r="K250" s="287"/>
      <c r="L250" s="288"/>
      <c r="M250" s="288"/>
      <c r="N250" s="288"/>
      <c r="O250" s="287"/>
      <c r="P250" s="287"/>
      <c r="Q250" s="288"/>
      <c r="R250" s="290"/>
      <c r="S250"/>
      <c r="T250"/>
      <c r="U250"/>
      <c r="V250"/>
    </row>
    <row r="251" spans="1:22">
      <c r="A251" s="285"/>
      <c r="B251" s="595"/>
      <c r="C251" s="596"/>
      <c r="D251" s="597"/>
      <c r="E251" s="597"/>
      <c r="F251" s="597"/>
      <c r="G251" s="597"/>
      <c r="H251" s="597"/>
      <c r="I251" s="597"/>
      <c r="J251" s="598"/>
      <c r="K251" s="596"/>
      <c r="L251" s="597"/>
      <c r="M251" s="597"/>
      <c r="N251" s="597"/>
      <c r="O251" s="596"/>
      <c r="P251" s="599"/>
      <c r="Q251" s="597"/>
      <c r="R251" s="600"/>
      <c r="S251"/>
      <c r="T251"/>
      <c r="U251"/>
      <c r="V251"/>
    </row>
    <row r="252" spans="1:22">
      <c r="A252" s="285"/>
      <c r="B252" s="264"/>
      <c r="C252" s="281"/>
      <c r="D252" s="282"/>
      <c r="E252" s="282"/>
      <c r="F252" s="282"/>
      <c r="G252" s="282"/>
      <c r="H252" s="282"/>
      <c r="I252" s="282"/>
      <c r="J252" s="283"/>
      <c r="K252" s="281"/>
      <c r="L252" s="282"/>
      <c r="M252" s="282"/>
      <c r="N252" s="282"/>
      <c r="O252" s="281"/>
      <c r="P252" s="281"/>
      <c r="Q252" s="282"/>
      <c r="R252" s="284"/>
      <c r="S252"/>
      <c r="T252"/>
      <c r="U252"/>
      <c r="V252"/>
    </row>
    <row r="253" spans="1:22">
      <c r="A253" s="285"/>
      <c r="B253" s="286"/>
      <c r="C253" s="287"/>
      <c r="D253" s="288"/>
      <c r="E253" s="288"/>
      <c r="F253" s="288"/>
      <c r="G253" s="288"/>
      <c r="H253" s="288"/>
      <c r="I253" s="288"/>
      <c r="J253" s="289"/>
      <c r="K253" s="287"/>
      <c r="L253" s="288"/>
      <c r="M253" s="288"/>
      <c r="N253" s="288"/>
      <c r="O253" s="287"/>
      <c r="P253" s="287"/>
      <c r="Q253" s="288"/>
      <c r="R253" s="290"/>
      <c r="S253"/>
      <c r="T253"/>
      <c r="U253"/>
      <c r="V253"/>
    </row>
    <row r="254" spans="1:22">
      <c r="A254" s="285"/>
      <c r="B254" s="595"/>
      <c r="C254" s="596"/>
      <c r="D254" s="597"/>
      <c r="E254" s="597"/>
      <c r="F254" s="597"/>
      <c r="G254" s="597"/>
      <c r="H254" s="597"/>
      <c r="I254" s="597"/>
      <c r="J254" s="598"/>
      <c r="K254" s="596"/>
      <c r="L254" s="597"/>
      <c r="M254" s="597"/>
      <c r="N254" s="597"/>
      <c r="O254" s="596"/>
      <c r="P254" s="599"/>
      <c r="Q254" s="597"/>
      <c r="R254" s="600"/>
      <c r="S254"/>
      <c r="T254"/>
      <c r="U254"/>
      <c r="V254"/>
    </row>
    <row r="255" spans="1:22">
      <c r="A255" s="285"/>
      <c r="B255" s="264"/>
      <c r="C255" s="281"/>
      <c r="D255" s="282"/>
      <c r="E255" s="282"/>
      <c r="F255" s="282"/>
      <c r="G255" s="282"/>
      <c r="H255" s="282"/>
      <c r="I255" s="282"/>
      <c r="J255" s="283"/>
      <c r="K255" s="281"/>
      <c r="L255" s="282"/>
      <c r="M255" s="282"/>
      <c r="N255" s="282"/>
      <c r="O255" s="281"/>
      <c r="P255" s="281"/>
      <c r="Q255" s="282"/>
      <c r="R255" s="284"/>
      <c r="S255"/>
      <c r="T255"/>
      <c r="U255"/>
      <c r="V255"/>
    </row>
    <row r="256" spans="1:22">
      <c r="A256" s="285"/>
      <c r="B256" s="286"/>
      <c r="C256" s="287"/>
      <c r="D256" s="288"/>
      <c r="E256" s="288"/>
      <c r="F256" s="288"/>
      <c r="G256" s="288"/>
      <c r="H256" s="288"/>
      <c r="I256" s="288"/>
      <c r="J256" s="289"/>
      <c r="K256" s="287"/>
      <c r="L256" s="288"/>
      <c r="M256" s="288"/>
      <c r="N256" s="288"/>
      <c r="O256" s="287"/>
      <c r="P256" s="287"/>
      <c r="Q256" s="288"/>
      <c r="R256" s="290"/>
      <c r="S256"/>
      <c r="T256"/>
      <c r="U256"/>
      <c r="V256"/>
    </row>
    <row r="257" spans="1:22">
      <c r="A257" s="292"/>
      <c r="B257" s="595"/>
      <c r="C257" s="596"/>
      <c r="D257" s="597"/>
      <c r="E257" s="597"/>
      <c r="F257" s="597"/>
      <c r="G257" s="597"/>
      <c r="H257" s="597"/>
      <c r="I257" s="597"/>
      <c r="J257" s="598"/>
      <c r="K257" s="596"/>
      <c r="L257" s="597"/>
      <c r="M257" s="597"/>
      <c r="N257" s="597"/>
      <c r="O257" s="596"/>
      <c r="P257" s="599"/>
      <c r="Q257" s="597"/>
      <c r="R257" s="600"/>
      <c r="S257"/>
      <c r="T257"/>
      <c r="U257"/>
      <c r="V257"/>
    </row>
    <row r="258" spans="1:22">
      <c r="A258" s="280"/>
      <c r="B258" s="264"/>
      <c r="C258" s="281"/>
      <c r="D258" s="282"/>
      <c r="E258" s="282"/>
      <c r="F258" s="282"/>
      <c r="G258" s="282"/>
      <c r="H258" s="282"/>
      <c r="I258" s="282"/>
      <c r="J258" s="283"/>
      <c r="K258" s="281"/>
      <c r="L258" s="282"/>
      <c r="M258" s="282"/>
      <c r="N258" s="282"/>
      <c r="O258" s="281"/>
      <c r="P258" s="281"/>
      <c r="Q258" s="282"/>
      <c r="R258" s="284"/>
      <c r="S258"/>
      <c r="T258"/>
      <c r="U258"/>
      <c r="V258"/>
    </row>
    <row r="259" spans="1:22">
      <c r="A259" s="285"/>
      <c r="B259" s="286"/>
      <c r="C259" s="287"/>
      <c r="D259" s="288"/>
      <c r="E259" s="288"/>
      <c r="F259" s="288"/>
      <c r="G259" s="288"/>
      <c r="H259" s="288"/>
      <c r="I259" s="288"/>
      <c r="J259" s="289"/>
      <c r="K259" s="287"/>
      <c r="L259" s="288"/>
      <c r="M259" s="288"/>
      <c r="N259" s="288"/>
      <c r="O259" s="287"/>
      <c r="P259" s="287"/>
      <c r="Q259" s="288"/>
      <c r="R259" s="290"/>
      <c r="S259"/>
      <c r="T259"/>
      <c r="U259"/>
      <c r="V259"/>
    </row>
    <row r="260" spans="1:22" s="293" customFormat="1">
      <c r="A260" s="285"/>
      <c r="B260" s="595"/>
      <c r="C260" s="596"/>
      <c r="D260" s="597"/>
      <c r="E260" s="597"/>
      <c r="F260" s="597"/>
      <c r="G260" s="597"/>
      <c r="H260" s="597"/>
      <c r="I260" s="597"/>
      <c r="J260" s="598"/>
      <c r="K260" s="596"/>
      <c r="L260" s="597"/>
      <c r="M260" s="597"/>
      <c r="N260" s="597"/>
      <c r="O260" s="596"/>
      <c r="P260" s="599"/>
      <c r="Q260" s="597"/>
      <c r="R260" s="600"/>
      <c r="S260"/>
      <c r="T260"/>
      <c r="U260"/>
      <c r="V260"/>
    </row>
    <row r="261" spans="1:22">
      <c r="A261" s="285"/>
      <c r="B261" s="264"/>
      <c r="C261" s="281"/>
      <c r="D261" s="282"/>
      <c r="E261" s="282"/>
      <c r="F261" s="282"/>
      <c r="G261" s="282"/>
      <c r="H261" s="282"/>
      <c r="I261" s="282"/>
      <c r="J261" s="283"/>
      <c r="K261" s="281"/>
      <c r="L261" s="282"/>
      <c r="M261" s="282"/>
      <c r="N261" s="282"/>
      <c r="O261" s="281"/>
      <c r="P261" s="281"/>
      <c r="Q261" s="282"/>
      <c r="R261" s="284"/>
      <c r="S261"/>
      <c r="T261"/>
      <c r="U261"/>
      <c r="V261"/>
    </row>
    <row r="262" spans="1:22">
      <c r="A262" s="285"/>
      <c r="B262" s="286"/>
      <c r="C262" s="287"/>
      <c r="D262" s="288"/>
      <c r="E262" s="288"/>
      <c r="F262" s="288"/>
      <c r="G262" s="288"/>
      <c r="H262" s="288"/>
      <c r="I262" s="288"/>
      <c r="J262" s="289"/>
      <c r="K262" s="287"/>
      <c r="L262" s="288"/>
      <c r="M262" s="288"/>
      <c r="N262" s="288"/>
      <c r="O262" s="287"/>
      <c r="P262" s="287"/>
      <c r="Q262" s="288"/>
      <c r="R262" s="290"/>
      <c r="S262"/>
      <c r="T262"/>
      <c r="U262"/>
      <c r="V262"/>
    </row>
    <row r="263" spans="1:22" s="293" customFormat="1">
      <c r="A263" s="285"/>
      <c r="B263" s="595"/>
      <c r="C263" s="596"/>
      <c r="D263" s="597"/>
      <c r="E263" s="597"/>
      <c r="F263" s="597"/>
      <c r="G263" s="597"/>
      <c r="H263" s="597"/>
      <c r="I263" s="597"/>
      <c r="J263" s="598"/>
      <c r="K263" s="596"/>
      <c r="L263" s="597"/>
      <c r="M263" s="597"/>
      <c r="N263" s="597"/>
      <c r="O263" s="596"/>
      <c r="P263" s="599"/>
      <c r="Q263" s="597"/>
      <c r="R263" s="600"/>
      <c r="S263"/>
      <c r="T263"/>
      <c r="U263"/>
      <c r="V263"/>
    </row>
    <row r="264" spans="1:22">
      <c r="A264" s="285"/>
      <c r="B264" s="264"/>
      <c r="C264" s="281"/>
      <c r="D264" s="282"/>
      <c r="E264" s="282"/>
      <c r="F264" s="282"/>
      <c r="G264" s="282"/>
      <c r="H264" s="282"/>
      <c r="I264" s="282"/>
      <c r="J264" s="283"/>
      <c r="K264" s="281"/>
      <c r="L264" s="282"/>
      <c r="M264" s="282"/>
      <c r="N264" s="282"/>
      <c r="O264" s="281"/>
      <c r="P264" s="281"/>
      <c r="Q264" s="282"/>
      <c r="R264" s="284"/>
      <c r="S264"/>
      <c r="T264"/>
      <c r="U264"/>
      <c r="V264"/>
    </row>
    <row r="265" spans="1:22">
      <c r="A265" s="285"/>
      <c r="B265" s="286"/>
      <c r="C265" s="287"/>
      <c r="D265" s="288"/>
      <c r="E265" s="288"/>
      <c r="F265" s="288"/>
      <c r="G265" s="288"/>
      <c r="H265" s="288"/>
      <c r="I265" s="288"/>
      <c r="J265" s="289"/>
      <c r="K265" s="287"/>
      <c r="L265" s="288"/>
      <c r="M265" s="288"/>
      <c r="N265" s="288"/>
      <c r="O265" s="287"/>
      <c r="P265" s="287"/>
      <c r="Q265" s="288"/>
      <c r="R265" s="290"/>
      <c r="S265"/>
      <c r="T265"/>
      <c r="U265"/>
      <c r="V265"/>
    </row>
    <row r="266" spans="1:22" s="293" customFormat="1">
      <c r="A266" s="285"/>
      <c r="B266" s="595"/>
      <c r="C266" s="596"/>
      <c r="D266" s="597"/>
      <c r="E266" s="597"/>
      <c r="F266" s="597"/>
      <c r="G266" s="597"/>
      <c r="H266" s="597"/>
      <c r="I266" s="597"/>
      <c r="J266" s="598"/>
      <c r="K266" s="596"/>
      <c r="L266" s="597"/>
      <c r="M266" s="597"/>
      <c r="N266" s="597"/>
      <c r="O266" s="596"/>
      <c r="P266" s="599"/>
      <c r="Q266" s="597"/>
      <c r="R266" s="600"/>
      <c r="S266"/>
      <c r="T266"/>
      <c r="U266"/>
      <c r="V266"/>
    </row>
    <row r="267" spans="1:22">
      <c r="A267" s="285"/>
      <c r="B267" s="264"/>
      <c r="C267" s="281"/>
      <c r="D267" s="282"/>
      <c r="E267" s="282"/>
      <c r="F267" s="282"/>
      <c r="G267" s="282"/>
      <c r="H267" s="282"/>
      <c r="I267" s="282"/>
      <c r="J267" s="283"/>
      <c r="K267" s="281"/>
      <c r="L267" s="282"/>
      <c r="M267" s="282"/>
      <c r="N267" s="282"/>
      <c r="O267" s="281"/>
      <c r="P267" s="281"/>
      <c r="Q267" s="282"/>
      <c r="R267" s="284"/>
      <c r="S267"/>
      <c r="T267"/>
      <c r="U267"/>
      <c r="V267"/>
    </row>
    <row r="268" spans="1:22">
      <c r="A268" s="285"/>
      <c r="B268" s="286"/>
      <c r="C268" s="287"/>
      <c r="D268" s="288"/>
      <c r="E268" s="288"/>
      <c r="F268" s="288"/>
      <c r="G268" s="288"/>
      <c r="H268" s="288"/>
      <c r="I268" s="288"/>
      <c r="J268" s="289"/>
      <c r="K268" s="287"/>
      <c r="L268" s="288"/>
      <c r="M268" s="288"/>
      <c r="N268" s="288"/>
      <c r="O268" s="287"/>
      <c r="P268" s="287"/>
      <c r="Q268" s="288"/>
      <c r="R268" s="290"/>
      <c r="S268"/>
      <c r="T268"/>
      <c r="U268"/>
      <c r="V268"/>
    </row>
    <row r="269" spans="1:22" s="293" customFormat="1">
      <c r="A269" s="285"/>
      <c r="B269" s="595"/>
      <c r="C269" s="596"/>
      <c r="D269" s="597"/>
      <c r="E269" s="597"/>
      <c r="F269" s="597"/>
      <c r="G269" s="597"/>
      <c r="H269" s="597"/>
      <c r="I269" s="597"/>
      <c r="J269" s="598"/>
      <c r="K269" s="596"/>
      <c r="L269" s="597"/>
      <c r="M269" s="597"/>
      <c r="N269" s="597"/>
      <c r="O269" s="596"/>
      <c r="P269" s="599"/>
      <c r="Q269" s="597"/>
      <c r="R269" s="600"/>
      <c r="S269"/>
      <c r="T269"/>
      <c r="U269"/>
      <c r="V269"/>
    </row>
    <row r="270" spans="1:22">
      <c r="A270" s="285"/>
      <c r="B270" s="264"/>
      <c r="C270" s="281"/>
      <c r="D270" s="282"/>
      <c r="E270" s="282"/>
      <c r="F270" s="282"/>
      <c r="G270" s="282"/>
      <c r="H270" s="282"/>
      <c r="I270" s="282"/>
      <c r="J270" s="283"/>
      <c r="K270" s="281"/>
      <c r="L270" s="282"/>
      <c r="M270" s="282"/>
      <c r="N270" s="282"/>
      <c r="O270" s="281"/>
      <c r="P270" s="281"/>
      <c r="Q270" s="282"/>
      <c r="R270" s="284"/>
      <c r="S270"/>
      <c r="T270"/>
      <c r="U270"/>
      <c r="V270"/>
    </row>
    <row r="271" spans="1:22">
      <c r="A271" s="285"/>
      <c r="B271" s="286"/>
      <c r="C271" s="287"/>
      <c r="D271" s="288"/>
      <c r="E271" s="288"/>
      <c r="F271" s="288"/>
      <c r="G271" s="288"/>
      <c r="H271" s="288"/>
      <c r="I271" s="288"/>
      <c r="J271" s="289"/>
      <c r="K271" s="287"/>
      <c r="L271" s="288"/>
      <c r="M271" s="288"/>
      <c r="N271" s="288"/>
      <c r="O271" s="287"/>
      <c r="P271" s="287"/>
      <c r="Q271" s="288"/>
      <c r="R271" s="290"/>
      <c r="S271"/>
      <c r="T271"/>
      <c r="U271"/>
      <c r="V271"/>
    </row>
    <row r="272" spans="1:22" s="293" customFormat="1">
      <c r="A272" s="285"/>
      <c r="B272" s="595"/>
      <c r="C272" s="596"/>
      <c r="D272" s="597"/>
      <c r="E272" s="597"/>
      <c r="F272" s="597"/>
      <c r="G272" s="597"/>
      <c r="H272" s="597"/>
      <c r="I272" s="597"/>
      <c r="J272" s="598"/>
      <c r="K272" s="596"/>
      <c r="L272" s="597"/>
      <c r="M272" s="597"/>
      <c r="N272" s="597"/>
      <c r="O272" s="596"/>
      <c r="P272" s="599"/>
      <c r="Q272" s="597"/>
      <c r="R272" s="600"/>
      <c r="S272"/>
      <c r="T272"/>
      <c r="U272"/>
      <c r="V272"/>
    </row>
    <row r="273" spans="1:22">
      <c r="A273" s="285"/>
      <c r="B273" s="264"/>
      <c r="C273" s="281"/>
      <c r="D273" s="282"/>
      <c r="E273" s="282"/>
      <c r="F273" s="282"/>
      <c r="G273" s="282"/>
      <c r="H273" s="282"/>
      <c r="I273" s="282"/>
      <c r="J273" s="283"/>
      <c r="K273" s="281"/>
      <c r="L273" s="282"/>
      <c r="M273" s="282"/>
      <c r="N273" s="282"/>
      <c r="O273" s="281"/>
      <c r="P273" s="281"/>
      <c r="Q273" s="282"/>
      <c r="R273" s="284"/>
      <c r="S273"/>
      <c r="T273"/>
      <c r="U273"/>
      <c r="V273"/>
    </row>
    <row r="274" spans="1:22">
      <c r="A274" s="285"/>
      <c r="B274" s="286"/>
      <c r="C274" s="287"/>
      <c r="D274" s="288"/>
      <c r="E274" s="288"/>
      <c r="F274" s="288"/>
      <c r="G274" s="288"/>
      <c r="H274" s="288"/>
      <c r="I274" s="288"/>
      <c r="J274" s="289"/>
      <c r="K274" s="287"/>
      <c r="L274" s="288"/>
      <c r="M274" s="288"/>
      <c r="N274" s="288"/>
      <c r="O274" s="287"/>
      <c r="P274" s="287"/>
      <c r="Q274" s="288"/>
      <c r="R274" s="290"/>
      <c r="S274"/>
      <c r="T274"/>
      <c r="U274"/>
      <c r="V274"/>
    </row>
    <row r="275" spans="1:22" s="293" customFormat="1">
      <c r="A275" s="285"/>
      <c r="B275" s="595"/>
      <c r="C275" s="596"/>
      <c r="D275" s="597"/>
      <c r="E275" s="597"/>
      <c r="F275" s="597"/>
      <c r="G275" s="597"/>
      <c r="H275" s="597"/>
      <c r="I275" s="597"/>
      <c r="J275" s="598"/>
      <c r="K275" s="596"/>
      <c r="L275" s="597"/>
      <c r="M275" s="597"/>
      <c r="N275" s="597"/>
      <c r="O275" s="596"/>
      <c r="P275" s="599"/>
      <c r="Q275" s="597"/>
      <c r="R275" s="600"/>
      <c r="S275"/>
      <c r="T275"/>
      <c r="U275"/>
      <c r="V275"/>
    </row>
    <row r="276" spans="1:22">
      <c r="A276" s="285"/>
      <c r="B276" s="264"/>
      <c r="C276" s="281"/>
      <c r="D276" s="282"/>
      <c r="E276" s="282"/>
      <c r="F276" s="282"/>
      <c r="G276" s="282"/>
      <c r="H276" s="282"/>
      <c r="I276" s="282"/>
      <c r="J276" s="283"/>
      <c r="K276" s="281"/>
      <c r="L276" s="282"/>
      <c r="M276" s="282"/>
      <c r="N276" s="282"/>
      <c r="O276" s="281"/>
      <c r="P276" s="281"/>
      <c r="Q276" s="282"/>
      <c r="R276" s="284"/>
      <c r="S276"/>
      <c r="T276"/>
      <c r="U276"/>
      <c r="V276"/>
    </row>
    <row r="277" spans="1:22">
      <c r="A277" s="285"/>
      <c r="B277" s="286"/>
      <c r="C277" s="287"/>
      <c r="D277" s="288"/>
      <c r="E277" s="288"/>
      <c r="F277" s="288"/>
      <c r="G277" s="288"/>
      <c r="H277" s="288"/>
      <c r="I277" s="288"/>
      <c r="J277" s="289"/>
      <c r="K277" s="287"/>
      <c r="L277" s="288"/>
      <c r="M277" s="288"/>
      <c r="N277" s="288"/>
      <c r="O277" s="287"/>
      <c r="P277" s="287"/>
      <c r="Q277" s="288"/>
      <c r="R277" s="290"/>
      <c r="S277"/>
      <c r="T277"/>
      <c r="U277"/>
      <c r="V277"/>
    </row>
    <row r="278" spans="1:22" s="293" customFormat="1">
      <c r="A278" s="285"/>
      <c r="B278" s="595"/>
      <c r="C278" s="596"/>
      <c r="D278" s="597"/>
      <c r="E278" s="597"/>
      <c r="F278" s="597"/>
      <c r="G278" s="597"/>
      <c r="H278" s="597"/>
      <c r="I278" s="597"/>
      <c r="J278" s="598"/>
      <c r="K278" s="596"/>
      <c r="L278" s="597"/>
      <c r="M278" s="597"/>
      <c r="N278" s="597"/>
      <c r="O278" s="596"/>
      <c r="P278" s="599"/>
      <c r="Q278" s="597"/>
      <c r="R278" s="600"/>
      <c r="S278"/>
      <c r="T278"/>
      <c r="U278"/>
      <c r="V278"/>
    </row>
    <row r="279" spans="1:22">
      <c r="A279" s="285"/>
      <c r="B279" s="264"/>
      <c r="C279" s="281"/>
      <c r="D279" s="282"/>
      <c r="E279" s="282"/>
      <c r="F279" s="282"/>
      <c r="G279" s="282"/>
      <c r="H279" s="282"/>
      <c r="I279" s="282"/>
      <c r="J279" s="283"/>
      <c r="K279" s="281"/>
      <c r="L279" s="282"/>
      <c r="M279" s="282"/>
      <c r="N279" s="282"/>
      <c r="O279" s="281"/>
      <c r="P279" s="281"/>
      <c r="Q279" s="282"/>
      <c r="R279" s="284"/>
      <c r="S279"/>
      <c r="T279"/>
      <c r="U279"/>
      <c r="V279"/>
    </row>
    <row r="280" spans="1:22">
      <c r="A280" s="285"/>
      <c r="B280" s="286"/>
      <c r="C280" s="287"/>
      <c r="D280" s="288"/>
      <c r="E280" s="288"/>
      <c r="F280" s="288"/>
      <c r="G280" s="288"/>
      <c r="H280" s="288"/>
      <c r="I280" s="288"/>
      <c r="J280" s="289"/>
      <c r="K280" s="287"/>
      <c r="L280" s="288"/>
      <c r="M280" s="288"/>
      <c r="N280" s="288"/>
      <c r="O280" s="287"/>
      <c r="P280" s="287"/>
      <c r="Q280" s="288"/>
      <c r="R280" s="290"/>
      <c r="S280"/>
      <c r="T280"/>
      <c r="U280"/>
      <c r="V280"/>
    </row>
    <row r="281" spans="1:22" s="293" customFormat="1">
      <c r="A281" s="285"/>
      <c r="B281" s="595"/>
      <c r="C281" s="596"/>
      <c r="D281" s="597"/>
      <c r="E281" s="597"/>
      <c r="F281" s="597"/>
      <c r="G281" s="597"/>
      <c r="H281" s="597"/>
      <c r="I281" s="597"/>
      <c r="J281" s="598"/>
      <c r="K281" s="596"/>
      <c r="L281" s="597"/>
      <c r="M281" s="597"/>
      <c r="N281" s="597"/>
      <c r="O281" s="596"/>
      <c r="P281" s="599"/>
      <c r="Q281" s="597"/>
      <c r="R281" s="600"/>
      <c r="S281"/>
      <c r="T281"/>
      <c r="U281"/>
      <c r="V281"/>
    </row>
    <row r="282" spans="1:22">
      <c r="A282" s="285"/>
      <c r="B282" s="264"/>
      <c r="C282" s="281"/>
      <c r="D282" s="282"/>
      <c r="E282" s="282"/>
      <c r="F282" s="282"/>
      <c r="G282" s="282"/>
      <c r="H282" s="282"/>
      <c r="I282" s="282"/>
      <c r="J282" s="283"/>
      <c r="K282" s="281"/>
      <c r="L282" s="282"/>
      <c r="M282" s="282"/>
      <c r="N282" s="282"/>
      <c r="O282" s="281"/>
      <c r="P282" s="281"/>
      <c r="Q282" s="282"/>
      <c r="R282" s="284"/>
      <c r="S282"/>
      <c r="T282"/>
      <c r="U282"/>
      <c r="V282"/>
    </row>
    <row r="283" spans="1:22">
      <c r="A283" s="285"/>
      <c r="B283" s="286"/>
      <c r="C283" s="287"/>
      <c r="D283" s="288"/>
      <c r="E283" s="288"/>
      <c r="F283" s="288"/>
      <c r="G283" s="288"/>
      <c r="H283" s="288"/>
      <c r="I283" s="288"/>
      <c r="J283" s="289"/>
      <c r="K283" s="287"/>
      <c r="L283" s="288"/>
      <c r="M283" s="288"/>
      <c r="N283" s="288"/>
      <c r="O283" s="287"/>
      <c r="P283" s="287"/>
      <c r="Q283" s="288"/>
      <c r="R283" s="290"/>
      <c r="S283"/>
      <c r="T283"/>
      <c r="U283"/>
      <c r="V283"/>
    </row>
    <row r="284" spans="1:22" s="293" customFormat="1">
      <c r="A284" s="285"/>
      <c r="B284" s="595"/>
      <c r="C284" s="596"/>
      <c r="D284" s="597"/>
      <c r="E284" s="597"/>
      <c r="F284" s="597"/>
      <c r="G284" s="597"/>
      <c r="H284" s="597"/>
      <c r="I284" s="597"/>
      <c r="J284" s="598"/>
      <c r="K284" s="596"/>
      <c r="L284" s="597"/>
      <c r="M284" s="597"/>
      <c r="N284" s="597"/>
      <c r="O284" s="596"/>
      <c r="P284" s="599"/>
      <c r="Q284" s="597"/>
      <c r="R284" s="600"/>
      <c r="S284"/>
      <c r="T284"/>
      <c r="U284"/>
      <c r="V284"/>
    </row>
    <row r="285" spans="1:22">
      <c r="A285" s="285"/>
      <c r="B285" s="264"/>
      <c r="C285" s="281"/>
      <c r="D285" s="282"/>
      <c r="E285" s="282"/>
      <c r="F285" s="282"/>
      <c r="G285" s="282"/>
      <c r="H285" s="282"/>
      <c r="I285" s="282"/>
      <c r="J285" s="283"/>
      <c r="K285" s="281"/>
      <c r="L285" s="282"/>
      <c r="M285" s="282"/>
      <c r="N285" s="282"/>
      <c r="O285" s="281"/>
      <c r="P285" s="281"/>
      <c r="Q285" s="282"/>
      <c r="R285" s="284"/>
      <c r="S285"/>
      <c r="T285"/>
      <c r="U285"/>
      <c r="V285"/>
    </row>
    <row r="286" spans="1:22">
      <c r="A286" s="285"/>
      <c r="B286" s="286"/>
      <c r="C286" s="287"/>
      <c r="D286" s="288"/>
      <c r="E286" s="288"/>
      <c r="F286" s="288"/>
      <c r="G286" s="288"/>
      <c r="H286" s="288"/>
      <c r="I286" s="288"/>
      <c r="J286" s="289"/>
      <c r="K286" s="287"/>
      <c r="L286" s="288"/>
      <c r="M286" s="288"/>
      <c r="N286" s="288"/>
      <c r="O286" s="287"/>
      <c r="P286" s="287"/>
      <c r="Q286" s="288"/>
      <c r="R286" s="290"/>
      <c r="S286"/>
      <c r="T286"/>
      <c r="U286"/>
      <c r="V286"/>
    </row>
    <row r="287" spans="1:22" s="293" customFormat="1">
      <c r="A287" s="285"/>
      <c r="B287" s="595"/>
      <c r="C287" s="596"/>
      <c r="D287" s="597"/>
      <c r="E287" s="597"/>
      <c r="F287" s="597"/>
      <c r="G287" s="597"/>
      <c r="H287" s="597"/>
      <c r="I287" s="597"/>
      <c r="J287" s="598"/>
      <c r="K287" s="596"/>
      <c r="L287" s="597"/>
      <c r="M287" s="597"/>
      <c r="N287" s="597"/>
      <c r="O287" s="596"/>
      <c r="P287" s="599"/>
      <c r="Q287" s="597"/>
      <c r="R287" s="600"/>
      <c r="S287"/>
      <c r="T287"/>
      <c r="U287"/>
      <c r="V287"/>
    </row>
    <row r="288" spans="1:22">
      <c r="A288" s="285"/>
      <c r="B288" s="264"/>
      <c r="C288" s="281"/>
      <c r="D288" s="282"/>
      <c r="E288" s="282"/>
      <c r="F288" s="282"/>
      <c r="G288" s="282"/>
      <c r="H288" s="282"/>
      <c r="I288" s="282"/>
      <c r="J288" s="283"/>
      <c r="K288" s="281"/>
      <c r="L288" s="282"/>
      <c r="M288" s="282"/>
      <c r="N288" s="282"/>
      <c r="O288" s="281"/>
      <c r="P288" s="281"/>
      <c r="Q288" s="282"/>
      <c r="R288" s="284"/>
      <c r="S288"/>
      <c r="T288"/>
      <c r="U288"/>
      <c r="V288"/>
    </row>
    <row r="289" spans="1:22">
      <c r="A289" s="285"/>
      <c r="B289" s="286"/>
      <c r="C289" s="287"/>
      <c r="D289" s="288"/>
      <c r="E289" s="288"/>
      <c r="F289" s="288"/>
      <c r="G289" s="288"/>
      <c r="H289" s="288"/>
      <c r="I289" s="288"/>
      <c r="J289" s="289"/>
      <c r="K289" s="287"/>
      <c r="L289" s="288"/>
      <c r="M289" s="288"/>
      <c r="N289" s="288"/>
      <c r="O289" s="287"/>
      <c r="P289" s="287"/>
      <c r="Q289" s="288"/>
      <c r="R289" s="290"/>
      <c r="S289"/>
      <c r="T289"/>
      <c r="U289"/>
      <c r="V289"/>
    </row>
    <row r="290" spans="1:22" s="293" customFormat="1">
      <c r="A290" s="285"/>
      <c r="B290" s="595"/>
      <c r="C290" s="596"/>
      <c r="D290" s="597"/>
      <c r="E290" s="597"/>
      <c r="F290" s="597"/>
      <c r="G290" s="597"/>
      <c r="H290" s="597"/>
      <c r="I290" s="597"/>
      <c r="J290" s="598"/>
      <c r="K290" s="596"/>
      <c r="L290" s="597"/>
      <c r="M290" s="597"/>
      <c r="N290" s="597"/>
      <c r="O290" s="596"/>
      <c r="P290" s="599"/>
      <c r="Q290" s="597"/>
      <c r="R290" s="600"/>
      <c r="S290"/>
      <c r="T290"/>
      <c r="U290"/>
      <c r="V290"/>
    </row>
    <row r="291" spans="1:22">
      <c r="A291" s="285"/>
      <c r="B291" s="264"/>
      <c r="C291" s="281"/>
      <c r="D291" s="282"/>
      <c r="E291" s="282"/>
      <c r="F291" s="282"/>
      <c r="G291" s="282"/>
      <c r="H291" s="282"/>
      <c r="I291" s="282"/>
      <c r="J291" s="283"/>
      <c r="K291" s="281"/>
      <c r="L291" s="282"/>
      <c r="M291" s="282"/>
      <c r="N291" s="282"/>
      <c r="O291" s="281"/>
      <c r="P291" s="281"/>
      <c r="Q291" s="282"/>
      <c r="R291" s="284"/>
      <c r="S291"/>
      <c r="T291"/>
      <c r="U291"/>
      <c r="V291"/>
    </row>
    <row r="292" spans="1:22">
      <c r="A292" s="285"/>
      <c r="B292" s="286"/>
      <c r="C292" s="287"/>
      <c r="D292" s="288"/>
      <c r="E292" s="288"/>
      <c r="F292" s="288"/>
      <c r="G292" s="288"/>
      <c r="H292" s="288"/>
      <c r="I292" s="288"/>
      <c r="J292" s="289"/>
      <c r="K292" s="287"/>
      <c r="L292" s="288"/>
      <c r="M292" s="288"/>
      <c r="N292" s="288"/>
      <c r="O292" s="287"/>
      <c r="P292" s="287"/>
      <c r="Q292" s="288"/>
      <c r="R292" s="290"/>
      <c r="S292"/>
      <c r="T292"/>
      <c r="U292"/>
      <c r="V292"/>
    </row>
    <row r="293" spans="1:22" s="293" customFormat="1">
      <c r="A293" s="292"/>
      <c r="B293" s="595"/>
      <c r="C293" s="596"/>
      <c r="D293" s="597"/>
      <c r="E293" s="597"/>
      <c r="F293" s="597"/>
      <c r="G293" s="597"/>
      <c r="H293" s="597"/>
      <c r="I293" s="597"/>
      <c r="J293" s="598"/>
      <c r="K293" s="596"/>
      <c r="L293" s="597"/>
      <c r="M293" s="597"/>
      <c r="N293" s="597"/>
      <c r="O293" s="596"/>
      <c r="P293" s="599"/>
      <c r="Q293" s="597"/>
      <c r="R293" s="600"/>
      <c r="S293"/>
      <c r="T293"/>
      <c r="U293"/>
      <c r="V293"/>
    </row>
    <row r="294" spans="1:22">
      <c r="A294" s="280"/>
      <c r="B294" s="264"/>
      <c r="C294" s="281"/>
      <c r="D294" s="282"/>
      <c r="E294" s="282"/>
      <c r="F294" s="282"/>
      <c r="G294" s="282"/>
      <c r="H294" s="282"/>
      <c r="I294" s="282"/>
      <c r="J294" s="283"/>
      <c r="K294" s="281"/>
      <c r="L294" s="282"/>
      <c r="M294" s="282"/>
      <c r="N294" s="282"/>
      <c r="O294" s="281"/>
      <c r="P294" s="281"/>
      <c r="Q294" s="282"/>
      <c r="R294" s="284"/>
      <c r="S294"/>
      <c r="T294"/>
      <c r="U294"/>
      <c r="V294"/>
    </row>
    <row r="295" spans="1:22">
      <c r="A295" s="285"/>
      <c r="B295" s="286"/>
      <c r="C295" s="287"/>
      <c r="D295" s="288"/>
      <c r="E295" s="288"/>
      <c r="F295" s="288"/>
      <c r="G295" s="288"/>
      <c r="H295" s="288"/>
      <c r="I295" s="288"/>
      <c r="J295" s="289"/>
      <c r="K295" s="287"/>
      <c r="L295" s="288"/>
      <c r="M295" s="288"/>
      <c r="N295" s="288"/>
      <c r="O295" s="287"/>
      <c r="P295" s="287"/>
      <c r="Q295" s="288"/>
      <c r="R295" s="290"/>
      <c r="S295"/>
      <c r="T295"/>
      <c r="U295"/>
      <c r="V295"/>
    </row>
    <row r="296" spans="1:22">
      <c r="A296" s="285"/>
      <c r="B296" s="595"/>
      <c r="C296" s="596"/>
      <c r="D296" s="597"/>
      <c r="E296" s="597"/>
      <c r="F296" s="597"/>
      <c r="G296" s="597"/>
      <c r="H296" s="597"/>
      <c r="I296" s="597"/>
      <c r="J296" s="598"/>
      <c r="K296" s="596"/>
      <c r="L296" s="597"/>
      <c r="M296" s="597"/>
      <c r="N296" s="597"/>
      <c r="O296" s="596"/>
      <c r="P296" s="599"/>
      <c r="Q296" s="597"/>
      <c r="R296" s="600"/>
      <c r="S296"/>
      <c r="T296"/>
      <c r="U296"/>
      <c r="V296"/>
    </row>
    <row r="297" spans="1:22">
      <c r="A297" s="285"/>
      <c r="B297" s="264"/>
      <c r="C297" s="281"/>
      <c r="D297" s="282"/>
      <c r="E297" s="282"/>
      <c r="F297" s="282"/>
      <c r="G297" s="282"/>
      <c r="H297" s="282"/>
      <c r="I297" s="282"/>
      <c r="J297" s="283"/>
      <c r="K297" s="281"/>
      <c r="L297" s="282"/>
      <c r="M297" s="282"/>
      <c r="N297" s="282"/>
      <c r="O297" s="281"/>
      <c r="P297" s="281"/>
      <c r="Q297" s="282"/>
      <c r="R297" s="284"/>
      <c r="S297"/>
      <c r="T297"/>
      <c r="U297"/>
      <c r="V297"/>
    </row>
    <row r="298" spans="1:22">
      <c r="A298" s="285"/>
      <c r="B298" s="286"/>
      <c r="C298" s="287"/>
      <c r="D298" s="288"/>
      <c r="E298" s="288"/>
      <c r="F298" s="288"/>
      <c r="G298" s="288"/>
      <c r="H298" s="288"/>
      <c r="I298" s="288"/>
      <c r="J298" s="289"/>
      <c r="K298" s="287"/>
      <c r="L298" s="288"/>
      <c r="M298" s="288"/>
      <c r="N298" s="288"/>
      <c r="O298" s="287"/>
      <c r="P298" s="287"/>
      <c r="Q298" s="288"/>
      <c r="R298" s="290"/>
      <c r="S298"/>
      <c r="T298"/>
      <c r="U298"/>
      <c r="V298"/>
    </row>
    <row r="299" spans="1:22">
      <c r="A299" s="285"/>
      <c r="B299" s="595"/>
      <c r="C299" s="596"/>
      <c r="D299" s="597"/>
      <c r="E299" s="597"/>
      <c r="F299" s="597"/>
      <c r="G299" s="597"/>
      <c r="H299" s="597"/>
      <c r="I299" s="597"/>
      <c r="J299" s="598"/>
      <c r="K299" s="596"/>
      <c r="L299" s="597"/>
      <c r="M299" s="597"/>
      <c r="N299" s="597"/>
      <c r="O299" s="596"/>
      <c r="P299" s="599"/>
      <c r="Q299" s="597"/>
      <c r="R299" s="600"/>
      <c r="S299"/>
      <c r="T299"/>
      <c r="U299"/>
      <c r="V299"/>
    </row>
    <row r="300" spans="1:22">
      <c r="A300" s="285"/>
      <c r="B300" s="264"/>
      <c r="C300" s="281"/>
      <c r="D300" s="282"/>
      <c r="E300" s="282"/>
      <c r="F300" s="282"/>
      <c r="G300" s="282"/>
      <c r="H300" s="282"/>
      <c r="I300" s="282"/>
      <c r="J300" s="283"/>
      <c r="K300" s="281"/>
      <c r="L300" s="282"/>
      <c r="M300" s="282"/>
      <c r="N300" s="282"/>
      <c r="O300" s="281"/>
      <c r="P300" s="281"/>
      <c r="Q300" s="282"/>
      <c r="R300" s="284"/>
      <c r="S300"/>
      <c r="T300"/>
      <c r="U300"/>
      <c r="V300"/>
    </row>
    <row r="301" spans="1:22">
      <c r="A301" s="285"/>
      <c r="B301" s="286"/>
      <c r="C301" s="287"/>
      <c r="D301" s="288"/>
      <c r="E301" s="288"/>
      <c r="F301" s="288"/>
      <c r="G301" s="288"/>
      <c r="H301" s="288"/>
      <c r="I301" s="288"/>
      <c r="J301" s="289"/>
      <c r="K301" s="287"/>
      <c r="L301" s="288"/>
      <c r="M301" s="288"/>
      <c r="N301" s="288"/>
      <c r="O301" s="287"/>
      <c r="P301" s="287"/>
      <c r="Q301" s="288"/>
      <c r="R301" s="290"/>
      <c r="S301"/>
      <c r="T301"/>
      <c r="U301"/>
      <c r="V301"/>
    </row>
    <row r="302" spans="1:22">
      <c r="A302" s="285"/>
      <c r="B302" s="595"/>
      <c r="C302" s="596"/>
      <c r="D302" s="597"/>
      <c r="E302" s="597"/>
      <c r="F302" s="597"/>
      <c r="G302" s="597"/>
      <c r="H302" s="597"/>
      <c r="I302" s="597"/>
      <c r="J302" s="598"/>
      <c r="K302" s="596"/>
      <c r="L302" s="597"/>
      <c r="M302" s="597"/>
      <c r="N302" s="597"/>
      <c r="O302" s="596"/>
      <c r="P302" s="599"/>
      <c r="Q302" s="597"/>
      <c r="R302" s="600"/>
      <c r="S302"/>
      <c r="T302"/>
      <c r="U302"/>
      <c r="V302"/>
    </row>
    <row r="303" spans="1:22">
      <c r="A303" s="285"/>
      <c r="B303" s="264"/>
      <c r="C303" s="281"/>
      <c r="D303" s="282"/>
      <c r="E303" s="282"/>
      <c r="F303" s="282"/>
      <c r="G303" s="282"/>
      <c r="H303" s="282"/>
      <c r="I303" s="282"/>
      <c r="J303" s="283"/>
      <c r="K303" s="281"/>
      <c r="L303" s="282"/>
      <c r="M303" s="282"/>
      <c r="N303" s="282"/>
      <c r="O303" s="281"/>
      <c r="P303" s="281"/>
      <c r="Q303" s="282"/>
      <c r="R303" s="284"/>
      <c r="S303"/>
      <c r="T303"/>
      <c r="U303"/>
      <c r="V303"/>
    </row>
    <row r="304" spans="1:22">
      <c r="A304" s="285"/>
      <c r="B304" s="286"/>
      <c r="C304" s="287"/>
      <c r="D304" s="288"/>
      <c r="E304" s="288"/>
      <c r="F304" s="288"/>
      <c r="G304" s="288"/>
      <c r="H304" s="288"/>
      <c r="I304" s="288"/>
      <c r="J304" s="289"/>
      <c r="K304" s="287"/>
      <c r="L304" s="288"/>
      <c r="M304" s="288"/>
      <c r="N304" s="288"/>
      <c r="O304" s="287"/>
      <c r="P304" s="287"/>
      <c r="Q304" s="288"/>
      <c r="R304" s="290"/>
      <c r="S304"/>
      <c r="T304"/>
      <c r="U304"/>
      <c r="V304"/>
    </row>
    <row r="305" spans="1:22">
      <c r="A305" s="285"/>
      <c r="B305" s="595"/>
      <c r="C305" s="596"/>
      <c r="D305" s="597"/>
      <c r="E305" s="597"/>
      <c r="F305" s="597"/>
      <c r="G305" s="597"/>
      <c r="H305" s="597"/>
      <c r="I305" s="597"/>
      <c r="J305" s="598"/>
      <c r="K305" s="596"/>
      <c r="L305" s="597"/>
      <c r="M305" s="597"/>
      <c r="N305" s="597"/>
      <c r="O305" s="596"/>
      <c r="P305" s="599"/>
      <c r="Q305" s="597"/>
      <c r="R305" s="600"/>
      <c r="S305"/>
      <c r="T305"/>
      <c r="U305"/>
      <c r="V305"/>
    </row>
    <row r="306" spans="1:22">
      <c r="A306" s="285"/>
      <c r="B306" s="264"/>
      <c r="C306" s="281"/>
      <c r="D306" s="282"/>
      <c r="E306" s="282"/>
      <c r="F306" s="282"/>
      <c r="G306" s="282"/>
      <c r="H306" s="282"/>
      <c r="I306" s="282"/>
      <c r="J306" s="283"/>
      <c r="K306" s="281"/>
      <c r="L306" s="282"/>
      <c r="M306" s="282"/>
      <c r="N306" s="282"/>
      <c r="O306" s="281"/>
      <c r="P306" s="281"/>
      <c r="Q306" s="282"/>
      <c r="R306" s="284"/>
      <c r="S306"/>
      <c r="T306"/>
      <c r="U306"/>
      <c r="V306"/>
    </row>
    <row r="307" spans="1:22">
      <c r="A307" s="285"/>
      <c r="B307" s="286"/>
      <c r="C307" s="287"/>
      <c r="D307" s="288"/>
      <c r="E307" s="288"/>
      <c r="F307" s="288"/>
      <c r="G307" s="288"/>
      <c r="H307" s="288"/>
      <c r="I307" s="288"/>
      <c r="J307" s="289"/>
      <c r="K307" s="287"/>
      <c r="L307" s="288"/>
      <c r="M307" s="288"/>
      <c r="N307" s="288"/>
      <c r="O307" s="287"/>
      <c r="P307" s="287"/>
      <c r="Q307" s="288"/>
      <c r="R307" s="290"/>
      <c r="S307"/>
      <c r="T307"/>
      <c r="U307"/>
      <c r="V307"/>
    </row>
    <row r="308" spans="1:22">
      <c r="A308" s="285"/>
      <c r="B308" s="595"/>
      <c r="C308" s="596"/>
      <c r="D308" s="597"/>
      <c r="E308" s="597"/>
      <c r="F308" s="597"/>
      <c r="G308" s="597"/>
      <c r="H308" s="597"/>
      <c r="I308" s="597"/>
      <c r="J308" s="598"/>
      <c r="K308" s="596"/>
      <c r="L308" s="597"/>
      <c r="M308" s="597"/>
      <c r="N308" s="597"/>
      <c r="O308" s="596"/>
      <c r="P308" s="599"/>
      <c r="Q308" s="597"/>
      <c r="R308" s="600"/>
      <c r="S308"/>
      <c r="T308"/>
      <c r="U308"/>
      <c r="V308"/>
    </row>
    <row r="309" spans="1:22">
      <c r="A309" s="285"/>
      <c r="B309" s="264"/>
      <c r="C309" s="281"/>
      <c r="D309" s="282"/>
      <c r="E309" s="282"/>
      <c r="F309" s="282"/>
      <c r="G309" s="282"/>
      <c r="H309" s="282"/>
      <c r="I309" s="282"/>
      <c r="J309" s="283"/>
      <c r="K309" s="281"/>
      <c r="L309" s="282"/>
      <c r="M309" s="282"/>
      <c r="N309" s="282"/>
      <c r="O309" s="281"/>
      <c r="P309" s="281"/>
      <c r="Q309" s="282"/>
      <c r="R309" s="284"/>
      <c r="S309"/>
      <c r="T309"/>
      <c r="U309"/>
      <c r="V309"/>
    </row>
    <row r="310" spans="1:22">
      <c r="A310" s="285"/>
      <c r="B310" s="286"/>
      <c r="C310" s="287"/>
      <c r="D310" s="288"/>
      <c r="E310" s="288"/>
      <c r="F310" s="288"/>
      <c r="G310" s="288"/>
      <c r="H310" s="288"/>
      <c r="I310" s="288"/>
      <c r="J310" s="289"/>
      <c r="K310" s="287"/>
      <c r="L310" s="288"/>
      <c r="M310" s="288"/>
      <c r="N310" s="288"/>
      <c r="O310" s="287"/>
      <c r="P310" s="287"/>
      <c r="Q310" s="288"/>
      <c r="R310" s="290"/>
      <c r="S310"/>
      <c r="T310"/>
      <c r="U310"/>
      <c r="V310"/>
    </row>
    <row r="311" spans="1:22">
      <c r="A311" s="285"/>
      <c r="B311" s="595"/>
      <c r="C311" s="596"/>
      <c r="D311" s="597"/>
      <c r="E311" s="597"/>
      <c r="F311" s="597"/>
      <c r="G311" s="597"/>
      <c r="H311" s="597"/>
      <c r="I311" s="597"/>
      <c r="J311" s="598"/>
      <c r="K311" s="596"/>
      <c r="L311" s="597"/>
      <c r="M311" s="597"/>
      <c r="N311" s="597"/>
      <c r="O311" s="596"/>
      <c r="P311" s="599"/>
      <c r="Q311" s="597"/>
      <c r="R311" s="600"/>
      <c r="S311"/>
      <c r="T311"/>
      <c r="U311"/>
      <c r="V311"/>
    </row>
    <row r="312" spans="1:22">
      <c r="A312" s="285"/>
      <c r="B312" s="264"/>
      <c r="C312" s="281"/>
      <c r="D312" s="282"/>
      <c r="E312" s="282"/>
      <c r="F312" s="282"/>
      <c r="G312" s="282"/>
      <c r="H312" s="282"/>
      <c r="I312" s="282"/>
      <c r="J312" s="283"/>
      <c r="K312" s="281"/>
      <c r="L312" s="282"/>
      <c r="M312" s="282"/>
      <c r="N312" s="282"/>
      <c r="O312" s="281"/>
      <c r="P312" s="281"/>
      <c r="Q312" s="282"/>
      <c r="R312" s="284"/>
      <c r="S312"/>
      <c r="T312"/>
      <c r="U312"/>
      <c r="V312"/>
    </row>
    <row r="313" spans="1:22">
      <c r="A313" s="285"/>
      <c r="B313" s="286"/>
      <c r="C313" s="287"/>
      <c r="D313" s="288"/>
      <c r="E313" s="288"/>
      <c r="F313" s="288"/>
      <c r="G313" s="288"/>
      <c r="H313" s="288"/>
      <c r="I313" s="288"/>
      <c r="J313" s="289"/>
      <c r="K313" s="287"/>
      <c r="L313" s="288"/>
      <c r="M313" s="288"/>
      <c r="N313" s="288"/>
      <c r="O313" s="287"/>
      <c r="P313" s="287"/>
      <c r="Q313" s="288"/>
      <c r="R313" s="290"/>
      <c r="S313"/>
      <c r="T313"/>
      <c r="U313"/>
      <c r="V313"/>
    </row>
    <row r="314" spans="1:22">
      <c r="A314" s="285"/>
      <c r="B314" s="595"/>
      <c r="C314" s="596"/>
      <c r="D314" s="597"/>
      <c r="E314" s="597"/>
      <c r="F314" s="597"/>
      <c r="G314" s="597"/>
      <c r="H314" s="597"/>
      <c r="I314" s="597"/>
      <c r="J314" s="598"/>
      <c r="K314" s="596"/>
      <c r="L314" s="597"/>
      <c r="M314" s="597"/>
      <c r="N314" s="597"/>
      <c r="O314" s="596"/>
      <c r="P314" s="599"/>
      <c r="Q314" s="597"/>
      <c r="R314" s="600"/>
      <c r="S314"/>
      <c r="T314"/>
      <c r="U314"/>
      <c r="V314"/>
    </row>
    <row r="315" spans="1:22">
      <c r="A315" s="285"/>
      <c r="B315" s="264"/>
      <c r="C315" s="281"/>
      <c r="D315" s="282"/>
      <c r="E315" s="282"/>
      <c r="F315" s="282"/>
      <c r="G315" s="282"/>
      <c r="H315" s="282"/>
      <c r="I315" s="282"/>
      <c r="J315" s="283"/>
      <c r="K315" s="281"/>
      <c r="L315" s="282"/>
      <c r="M315" s="282"/>
      <c r="N315" s="282"/>
      <c r="O315" s="281"/>
      <c r="P315" s="281"/>
      <c r="Q315" s="282"/>
      <c r="R315" s="284"/>
      <c r="S315"/>
      <c r="T315"/>
      <c r="U315"/>
      <c r="V315"/>
    </row>
    <row r="316" spans="1:22">
      <c r="A316" s="285"/>
      <c r="B316" s="286"/>
      <c r="C316" s="287"/>
      <c r="D316" s="288"/>
      <c r="E316" s="288"/>
      <c r="F316" s="288"/>
      <c r="G316" s="288"/>
      <c r="H316" s="288"/>
      <c r="I316" s="288"/>
      <c r="J316" s="289"/>
      <c r="K316" s="287"/>
      <c r="L316" s="288"/>
      <c r="M316" s="288"/>
      <c r="N316" s="288"/>
      <c r="O316" s="287"/>
      <c r="P316" s="287"/>
      <c r="Q316" s="288"/>
      <c r="R316" s="290"/>
      <c r="S316"/>
      <c r="T316"/>
      <c r="U316"/>
      <c r="V316"/>
    </row>
    <row r="317" spans="1:22">
      <c r="A317" s="285"/>
      <c r="B317" s="595"/>
      <c r="C317" s="596"/>
      <c r="D317" s="597"/>
      <c r="E317" s="597"/>
      <c r="F317" s="597"/>
      <c r="G317" s="597"/>
      <c r="H317" s="597"/>
      <c r="I317" s="597"/>
      <c r="J317" s="598"/>
      <c r="K317" s="596"/>
      <c r="L317" s="597"/>
      <c r="M317" s="597"/>
      <c r="N317" s="597"/>
      <c r="O317" s="596"/>
      <c r="P317" s="599"/>
      <c r="Q317" s="597"/>
      <c r="R317" s="600"/>
      <c r="S317"/>
      <c r="T317"/>
      <c r="U317"/>
      <c r="V317"/>
    </row>
    <row r="318" spans="1:22">
      <c r="A318" s="285"/>
      <c r="B318" s="264"/>
      <c r="C318" s="281"/>
      <c r="D318" s="282"/>
      <c r="E318" s="282"/>
      <c r="F318" s="282"/>
      <c r="G318" s="282"/>
      <c r="H318" s="282"/>
      <c r="I318" s="282"/>
      <c r="J318" s="283"/>
      <c r="K318" s="281"/>
      <c r="L318" s="282"/>
      <c r="M318" s="282"/>
      <c r="N318" s="282"/>
      <c r="O318" s="281"/>
      <c r="P318" s="281"/>
      <c r="Q318" s="282"/>
      <c r="R318" s="284"/>
      <c r="S318"/>
      <c r="T318"/>
      <c r="U318"/>
      <c r="V318"/>
    </row>
    <row r="319" spans="1:22">
      <c r="A319" s="285"/>
      <c r="B319" s="286"/>
      <c r="C319" s="287"/>
      <c r="D319" s="288"/>
      <c r="E319" s="288"/>
      <c r="F319" s="288"/>
      <c r="G319" s="288"/>
      <c r="H319" s="288"/>
      <c r="I319" s="288"/>
      <c r="J319" s="289"/>
      <c r="K319" s="287"/>
      <c r="L319" s="288"/>
      <c r="M319" s="288"/>
      <c r="N319" s="288"/>
      <c r="O319" s="287"/>
      <c r="P319" s="287"/>
      <c r="Q319" s="288"/>
      <c r="R319" s="290"/>
      <c r="S319"/>
      <c r="T319"/>
      <c r="U319"/>
      <c r="V319"/>
    </row>
    <row r="320" spans="1:22">
      <c r="A320" s="285"/>
      <c r="B320" s="595"/>
      <c r="C320" s="596"/>
      <c r="D320" s="597"/>
      <c r="E320" s="597"/>
      <c r="F320" s="597"/>
      <c r="G320" s="597"/>
      <c r="H320" s="597"/>
      <c r="I320" s="597"/>
      <c r="J320" s="598"/>
      <c r="K320" s="596"/>
      <c r="L320" s="597"/>
      <c r="M320" s="597"/>
      <c r="N320" s="597"/>
      <c r="O320" s="596"/>
      <c r="P320" s="599"/>
      <c r="Q320" s="597"/>
      <c r="R320" s="600"/>
      <c r="S320"/>
      <c r="T320"/>
      <c r="U320"/>
      <c r="V320"/>
    </row>
    <row r="321" spans="1:22">
      <c r="A321" s="285"/>
      <c r="B321" s="264"/>
      <c r="C321" s="281"/>
      <c r="D321" s="282"/>
      <c r="E321" s="282"/>
      <c r="F321" s="282"/>
      <c r="G321" s="282"/>
      <c r="H321" s="282"/>
      <c r="I321" s="282"/>
      <c r="J321" s="283"/>
      <c r="K321" s="281"/>
      <c r="L321" s="282"/>
      <c r="M321" s="282"/>
      <c r="N321" s="282"/>
      <c r="O321" s="281"/>
      <c r="P321" s="281"/>
      <c r="Q321" s="282"/>
      <c r="R321" s="284"/>
      <c r="S321"/>
      <c r="T321"/>
      <c r="U321"/>
      <c r="V321"/>
    </row>
    <row r="322" spans="1:22">
      <c r="A322" s="285"/>
      <c r="B322" s="286"/>
      <c r="C322" s="287"/>
      <c r="D322" s="288"/>
      <c r="E322" s="288"/>
      <c r="F322" s="288"/>
      <c r="G322" s="288"/>
      <c r="H322" s="288"/>
      <c r="I322" s="288"/>
      <c r="J322" s="289"/>
      <c r="K322" s="287"/>
      <c r="L322" s="288"/>
      <c r="M322" s="288"/>
      <c r="N322" s="288"/>
      <c r="O322" s="287"/>
      <c r="P322" s="287"/>
      <c r="Q322" s="288"/>
      <c r="R322" s="290"/>
      <c r="S322"/>
      <c r="T322"/>
      <c r="U322"/>
      <c r="V322"/>
    </row>
    <row r="323" spans="1:22">
      <c r="A323" s="285"/>
      <c r="B323" s="595"/>
      <c r="C323" s="596"/>
      <c r="D323" s="597"/>
      <c r="E323" s="597"/>
      <c r="F323" s="597"/>
      <c r="G323" s="597"/>
      <c r="H323" s="597"/>
      <c r="I323" s="597"/>
      <c r="J323" s="598"/>
      <c r="K323" s="596"/>
      <c r="L323" s="597"/>
      <c r="M323" s="597"/>
      <c r="N323" s="597"/>
      <c r="O323" s="596"/>
      <c r="P323" s="599"/>
      <c r="Q323" s="597"/>
      <c r="R323" s="600"/>
      <c r="S323"/>
      <c r="T323"/>
      <c r="U323"/>
      <c r="V323"/>
    </row>
    <row r="324" spans="1:22">
      <c r="A324" s="285"/>
      <c r="B324" s="264"/>
      <c r="C324" s="281"/>
      <c r="D324" s="282"/>
      <c r="E324" s="282"/>
      <c r="F324" s="282"/>
      <c r="G324" s="282"/>
      <c r="H324" s="282"/>
      <c r="I324" s="282"/>
      <c r="J324" s="283"/>
      <c r="K324" s="281"/>
      <c r="L324" s="282"/>
      <c r="M324" s="282"/>
      <c r="N324" s="282"/>
      <c r="O324" s="281"/>
      <c r="P324" s="281"/>
      <c r="Q324" s="282"/>
      <c r="R324" s="284"/>
      <c r="S324"/>
      <c r="T324"/>
      <c r="U324"/>
      <c r="V324"/>
    </row>
    <row r="325" spans="1:22">
      <c r="A325" s="285"/>
      <c r="B325" s="286"/>
      <c r="C325" s="287"/>
      <c r="D325" s="288"/>
      <c r="E325" s="288"/>
      <c r="F325" s="288"/>
      <c r="G325" s="288"/>
      <c r="H325" s="288"/>
      <c r="I325" s="288"/>
      <c r="J325" s="289"/>
      <c r="K325" s="287"/>
      <c r="L325" s="288"/>
      <c r="M325" s="288"/>
      <c r="N325" s="288"/>
      <c r="O325" s="287"/>
      <c r="P325" s="287"/>
      <c r="Q325" s="288"/>
      <c r="R325" s="290"/>
      <c r="S325"/>
      <c r="T325"/>
      <c r="U325"/>
      <c r="V325"/>
    </row>
    <row r="326" spans="1:22">
      <c r="A326" s="285"/>
      <c r="B326" s="595"/>
      <c r="C326" s="596"/>
      <c r="D326" s="597"/>
      <c r="E326" s="597"/>
      <c r="F326" s="597"/>
      <c r="G326" s="597"/>
      <c r="H326" s="597"/>
      <c r="I326" s="597"/>
      <c r="J326" s="598"/>
      <c r="K326" s="596"/>
      <c r="L326" s="597"/>
      <c r="M326" s="597"/>
      <c r="N326" s="597"/>
      <c r="O326" s="596"/>
      <c r="P326" s="599"/>
      <c r="Q326" s="597"/>
      <c r="R326" s="600"/>
      <c r="S326"/>
      <c r="T326"/>
      <c r="U326"/>
      <c r="V326"/>
    </row>
    <row r="327" spans="1:22">
      <c r="A327" s="285"/>
      <c r="B327" s="264"/>
      <c r="C327" s="281"/>
      <c r="D327" s="282"/>
      <c r="E327" s="282"/>
      <c r="F327" s="282"/>
      <c r="G327" s="282"/>
      <c r="H327" s="282"/>
      <c r="I327" s="282"/>
      <c r="J327" s="283"/>
      <c r="K327" s="281"/>
      <c r="L327" s="282"/>
      <c r="M327" s="282"/>
      <c r="N327" s="282"/>
      <c r="O327" s="281"/>
      <c r="P327" s="281"/>
      <c r="Q327" s="282"/>
      <c r="R327" s="284"/>
      <c r="S327"/>
      <c r="T327"/>
      <c r="U327"/>
      <c r="V327"/>
    </row>
    <row r="328" spans="1:22">
      <c r="A328" s="285"/>
      <c r="B328" s="286"/>
      <c r="C328" s="287"/>
      <c r="D328" s="288"/>
      <c r="E328" s="288"/>
      <c r="F328" s="288"/>
      <c r="G328" s="288"/>
      <c r="H328" s="288"/>
      <c r="I328" s="288"/>
      <c r="J328" s="289"/>
      <c r="K328" s="287"/>
      <c r="L328" s="288"/>
      <c r="M328" s="288"/>
      <c r="N328" s="288"/>
      <c r="O328" s="287"/>
      <c r="P328" s="287"/>
      <c r="Q328" s="288"/>
      <c r="R328" s="290"/>
      <c r="S328"/>
      <c r="T328"/>
      <c r="U328"/>
      <c r="V328"/>
    </row>
    <row r="329" spans="1:22">
      <c r="A329" s="292"/>
      <c r="B329" s="595"/>
      <c r="C329" s="596"/>
      <c r="D329" s="597"/>
      <c r="E329" s="597"/>
      <c r="F329" s="597"/>
      <c r="G329" s="597"/>
      <c r="H329" s="597"/>
      <c r="I329" s="597"/>
      <c r="J329" s="598"/>
      <c r="K329" s="596"/>
      <c r="L329" s="597"/>
      <c r="M329" s="597"/>
      <c r="N329" s="597"/>
      <c r="O329" s="596"/>
      <c r="P329" s="599"/>
      <c r="Q329" s="597"/>
      <c r="R329" s="600"/>
      <c r="S329"/>
      <c r="T329"/>
      <c r="U329"/>
      <c r="V329"/>
    </row>
    <row r="330" spans="1:22">
      <c r="A330" s="280"/>
      <c r="B330" s="264"/>
      <c r="C330" s="281"/>
      <c r="D330" s="282"/>
      <c r="E330" s="282"/>
      <c r="F330" s="282"/>
      <c r="G330" s="282"/>
      <c r="H330" s="282"/>
      <c r="I330" s="282"/>
      <c r="J330" s="283"/>
      <c r="K330" s="281"/>
      <c r="L330" s="282"/>
      <c r="M330" s="282"/>
      <c r="N330" s="282"/>
      <c r="O330" s="281"/>
      <c r="P330" s="281"/>
      <c r="Q330" s="282"/>
      <c r="R330" s="284"/>
      <c r="S330"/>
      <c r="T330"/>
      <c r="U330"/>
      <c r="V330"/>
    </row>
    <row r="331" spans="1:22">
      <c r="A331" s="285"/>
      <c r="B331" s="286"/>
      <c r="C331" s="287"/>
      <c r="D331" s="288"/>
      <c r="E331" s="288"/>
      <c r="F331" s="288"/>
      <c r="G331" s="288"/>
      <c r="H331" s="288"/>
      <c r="I331" s="288"/>
      <c r="J331" s="289"/>
      <c r="K331" s="287"/>
      <c r="L331" s="288"/>
      <c r="M331" s="288"/>
      <c r="N331" s="288"/>
      <c r="O331" s="287"/>
      <c r="P331" s="287"/>
      <c r="Q331" s="288"/>
      <c r="R331" s="290"/>
      <c r="S331"/>
      <c r="T331"/>
      <c r="U331"/>
      <c r="V331"/>
    </row>
    <row r="332" spans="1:22">
      <c r="A332" s="285"/>
      <c r="B332" s="595"/>
      <c r="C332" s="596"/>
      <c r="D332" s="597"/>
      <c r="E332" s="597"/>
      <c r="F332" s="597"/>
      <c r="G332" s="597"/>
      <c r="H332" s="597"/>
      <c r="I332" s="597"/>
      <c r="J332" s="598"/>
      <c r="K332" s="596"/>
      <c r="L332" s="597"/>
      <c r="M332" s="597"/>
      <c r="N332" s="597"/>
      <c r="O332" s="596"/>
      <c r="P332" s="599"/>
      <c r="Q332" s="597"/>
      <c r="R332" s="600"/>
      <c r="S332"/>
      <c r="T332"/>
      <c r="U332"/>
      <c r="V332"/>
    </row>
    <row r="333" spans="1:22">
      <c r="A333" s="285"/>
      <c r="B333" s="264"/>
      <c r="C333" s="281"/>
      <c r="D333" s="282"/>
      <c r="E333" s="282"/>
      <c r="F333" s="282"/>
      <c r="G333" s="282"/>
      <c r="H333" s="282"/>
      <c r="I333" s="282"/>
      <c r="J333" s="283"/>
      <c r="K333" s="281"/>
      <c r="L333" s="282"/>
      <c r="M333" s="282"/>
      <c r="N333" s="282"/>
      <c r="O333" s="281"/>
      <c r="P333" s="281"/>
      <c r="Q333" s="282"/>
      <c r="R333" s="284"/>
      <c r="S333"/>
      <c r="T333"/>
      <c r="U333"/>
      <c r="V333"/>
    </row>
    <row r="334" spans="1:22">
      <c r="A334" s="285"/>
      <c r="B334" s="286"/>
      <c r="C334" s="287"/>
      <c r="D334" s="288"/>
      <c r="E334" s="288"/>
      <c r="F334" s="288"/>
      <c r="G334" s="288"/>
      <c r="H334" s="288"/>
      <c r="I334" s="288"/>
      <c r="J334" s="289"/>
      <c r="K334" s="287"/>
      <c r="L334" s="288"/>
      <c r="M334" s="288"/>
      <c r="N334" s="288"/>
      <c r="O334" s="287"/>
      <c r="P334" s="287"/>
      <c r="Q334" s="288"/>
      <c r="R334" s="290"/>
      <c r="S334"/>
      <c r="T334"/>
      <c r="U334"/>
      <c r="V334"/>
    </row>
    <row r="335" spans="1:22">
      <c r="A335" s="285"/>
      <c r="B335" s="595"/>
      <c r="C335" s="596"/>
      <c r="D335" s="597"/>
      <c r="E335" s="597"/>
      <c r="F335" s="597"/>
      <c r="G335" s="597"/>
      <c r="H335" s="597"/>
      <c r="I335" s="597"/>
      <c r="J335" s="598"/>
      <c r="K335" s="596"/>
      <c r="L335" s="597"/>
      <c r="M335" s="597"/>
      <c r="N335" s="597"/>
      <c r="O335" s="596"/>
      <c r="P335" s="599"/>
      <c r="Q335" s="597"/>
      <c r="R335" s="600"/>
      <c r="S335"/>
      <c r="T335"/>
      <c r="U335"/>
      <c r="V335"/>
    </row>
    <row r="336" spans="1:22">
      <c r="A336" s="285"/>
      <c r="B336" s="264"/>
      <c r="C336" s="281"/>
      <c r="D336" s="282"/>
      <c r="E336" s="282"/>
      <c r="F336" s="282"/>
      <c r="G336" s="282"/>
      <c r="H336" s="282"/>
      <c r="I336" s="282"/>
      <c r="J336" s="283"/>
      <c r="K336" s="281"/>
      <c r="L336" s="282"/>
      <c r="M336" s="282"/>
      <c r="N336" s="282"/>
      <c r="O336" s="281"/>
      <c r="P336" s="281"/>
      <c r="Q336" s="282"/>
      <c r="R336" s="284"/>
      <c r="S336"/>
      <c r="T336"/>
      <c r="U336"/>
      <c r="V336"/>
    </row>
    <row r="337" spans="1:22">
      <c r="A337" s="285"/>
      <c r="B337" s="286"/>
      <c r="C337" s="287"/>
      <c r="D337" s="288"/>
      <c r="E337" s="288"/>
      <c r="F337" s="288"/>
      <c r="G337" s="288"/>
      <c r="H337" s="288"/>
      <c r="I337" s="288"/>
      <c r="J337" s="289"/>
      <c r="K337" s="287"/>
      <c r="L337" s="288"/>
      <c r="M337" s="288"/>
      <c r="N337" s="288"/>
      <c r="O337" s="287"/>
      <c r="P337" s="287"/>
      <c r="Q337" s="288"/>
      <c r="R337" s="290"/>
      <c r="S337"/>
      <c r="T337"/>
      <c r="U337"/>
      <c r="V337"/>
    </row>
    <row r="338" spans="1:22">
      <c r="A338" s="285"/>
      <c r="B338" s="595"/>
      <c r="C338" s="596"/>
      <c r="D338" s="597"/>
      <c r="E338" s="597"/>
      <c r="F338" s="597"/>
      <c r="G338" s="597"/>
      <c r="H338" s="597"/>
      <c r="I338" s="597"/>
      <c r="J338" s="598"/>
      <c r="K338" s="596"/>
      <c r="L338" s="597"/>
      <c r="M338" s="597"/>
      <c r="N338" s="597"/>
      <c r="O338" s="596"/>
      <c r="P338" s="599"/>
      <c r="Q338" s="597"/>
      <c r="R338" s="600"/>
      <c r="S338"/>
      <c r="T338"/>
      <c r="U338"/>
      <c r="V338"/>
    </row>
    <row r="339" spans="1:22">
      <c r="A339" s="285"/>
      <c r="B339" s="264"/>
      <c r="C339" s="281"/>
      <c r="D339" s="282"/>
      <c r="E339" s="282"/>
      <c r="F339" s="282"/>
      <c r="G339" s="282"/>
      <c r="H339" s="282"/>
      <c r="I339" s="282"/>
      <c r="J339" s="283"/>
      <c r="K339" s="281"/>
      <c r="L339" s="282"/>
      <c r="M339" s="282"/>
      <c r="N339" s="282"/>
      <c r="O339" s="281"/>
      <c r="P339" s="281"/>
      <c r="Q339" s="282"/>
      <c r="R339" s="284"/>
      <c r="S339"/>
      <c r="T339"/>
      <c r="U339"/>
      <c r="V339"/>
    </row>
    <row r="340" spans="1:22">
      <c r="A340" s="285"/>
      <c r="B340" s="286"/>
      <c r="C340" s="287"/>
      <c r="D340" s="288"/>
      <c r="E340" s="288"/>
      <c r="F340" s="288"/>
      <c r="G340" s="288"/>
      <c r="H340" s="288"/>
      <c r="I340" s="288"/>
      <c r="J340" s="289"/>
      <c r="K340" s="287"/>
      <c r="L340" s="288"/>
      <c r="M340" s="288"/>
      <c r="N340" s="288"/>
      <c r="O340" s="287"/>
      <c r="P340" s="287"/>
      <c r="Q340" s="288"/>
      <c r="R340" s="290"/>
      <c r="S340"/>
      <c r="T340"/>
      <c r="U340"/>
      <c r="V340"/>
    </row>
    <row r="341" spans="1:22">
      <c r="A341" s="285"/>
      <c r="B341" s="595"/>
      <c r="C341" s="596"/>
      <c r="D341" s="597"/>
      <c r="E341" s="597"/>
      <c r="F341" s="597"/>
      <c r="G341" s="597"/>
      <c r="H341" s="597"/>
      <c r="I341" s="597"/>
      <c r="J341" s="598"/>
      <c r="K341" s="596"/>
      <c r="L341" s="597"/>
      <c r="M341" s="597"/>
      <c r="N341" s="597"/>
      <c r="O341" s="596"/>
      <c r="P341" s="599"/>
      <c r="Q341" s="597"/>
      <c r="R341" s="600"/>
      <c r="S341"/>
      <c r="T341"/>
      <c r="U341"/>
      <c r="V341"/>
    </row>
    <row r="342" spans="1:22">
      <c r="A342" s="285"/>
      <c r="B342" s="264"/>
      <c r="C342" s="281"/>
      <c r="D342" s="282"/>
      <c r="E342" s="282"/>
      <c r="F342" s="282"/>
      <c r="G342" s="282"/>
      <c r="H342" s="282"/>
      <c r="I342" s="282"/>
      <c r="J342" s="283"/>
      <c r="K342" s="281"/>
      <c r="L342" s="282"/>
      <c r="M342" s="282"/>
      <c r="N342" s="282"/>
      <c r="O342" s="281"/>
      <c r="P342" s="281"/>
      <c r="Q342" s="282"/>
      <c r="R342" s="284"/>
      <c r="S342"/>
      <c r="T342"/>
      <c r="U342"/>
      <c r="V342"/>
    </row>
    <row r="343" spans="1:22">
      <c r="A343" s="285"/>
      <c r="B343" s="286"/>
      <c r="C343" s="287"/>
      <c r="D343" s="288"/>
      <c r="E343" s="288"/>
      <c r="F343" s="288"/>
      <c r="G343" s="288"/>
      <c r="H343" s="288"/>
      <c r="I343" s="288"/>
      <c r="J343" s="289"/>
      <c r="K343" s="287"/>
      <c r="L343" s="288"/>
      <c r="M343" s="288"/>
      <c r="N343" s="288"/>
      <c r="O343" s="287"/>
      <c r="P343" s="287"/>
      <c r="Q343" s="288"/>
      <c r="R343" s="290"/>
      <c r="S343"/>
      <c r="T343"/>
      <c r="U343"/>
      <c r="V343"/>
    </row>
    <row r="344" spans="1:22">
      <c r="A344" s="285"/>
      <c r="B344" s="595"/>
      <c r="C344" s="596"/>
      <c r="D344" s="597"/>
      <c r="E344" s="597"/>
      <c r="F344" s="597"/>
      <c r="G344" s="597"/>
      <c r="H344" s="597"/>
      <c r="I344" s="597"/>
      <c r="J344" s="598"/>
      <c r="K344" s="596"/>
      <c r="L344" s="597"/>
      <c r="M344" s="597"/>
      <c r="N344" s="597"/>
      <c r="O344" s="596"/>
      <c r="P344" s="599"/>
      <c r="Q344" s="597"/>
      <c r="R344" s="600"/>
      <c r="S344"/>
      <c r="T344"/>
      <c r="U344"/>
      <c r="V344"/>
    </row>
    <row r="345" spans="1:22">
      <c r="A345" s="285"/>
      <c r="B345" s="264"/>
      <c r="C345" s="281"/>
      <c r="D345" s="282"/>
      <c r="E345" s="282"/>
      <c r="F345" s="282"/>
      <c r="G345" s="282"/>
      <c r="H345" s="282"/>
      <c r="I345" s="282"/>
      <c r="J345" s="283"/>
      <c r="K345" s="281"/>
      <c r="L345" s="282"/>
      <c r="M345" s="282"/>
      <c r="N345" s="282"/>
      <c r="O345" s="281"/>
      <c r="P345" s="281"/>
      <c r="Q345" s="282"/>
      <c r="R345" s="284"/>
      <c r="S345"/>
      <c r="T345"/>
      <c r="U345"/>
      <c r="V345"/>
    </row>
    <row r="346" spans="1:22">
      <c r="A346" s="285"/>
      <c r="B346" s="286"/>
      <c r="C346" s="287"/>
      <c r="D346" s="288"/>
      <c r="E346" s="288"/>
      <c r="F346" s="288"/>
      <c r="G346" s="288"/>
      <c r="H346" s="288"/>
      <c r="I346" s="288"/>
      <c r="J346" s="289"/>
      <c r="K346" s="287"/>
      <c r="L346" s="288"/>
      <c r="M346" s="288"/>
      <c r="N346" s="288"/>
      <c r="O346" s="287"/>
      <c r="P346" s="287"/>
      <c r="Q346" s="288"/>
      <c r="R346" s="290"/>
      <c r="S346"/>
      <c r="T346"/>
      <c r="U346"/>
      <c r="V346"/>
    </row>
    <row r="347" spans="1:22">
      <c r="A347" s="285"/>
      <c r="B347" s="595"/>
      <c r="C347" s="596"/>
      <c r="D347" s="597"/>
      <c r="E347" s="597"/>
      <c r="F347" s="597"/>
      <c r="G347" s="597"/>
      <c r="H347" s="597"/>
      <c r="I347" s="597"/>
      <c r="J347" s="598"/>
      <c r="K347" s="596"/>
      <c r="L347" s="597"/>
      <c r="M347" s="597"/>
      <c r="N347" s="597"/>
      <c r="O347" s="596"/>
      <c r="P347" s="599"/>
      <c r="Q347" s="597"/>
      <c r="R347" s="600"/>
      <c r="S347"/>
      <c r="T347"/>
      <c r="U347"/>
      <c r="V347"/>
    </row>
    <row r="348" spans="1:22">
      <c r="A348" s="285"/>
      <c r="B348" s="264"/>
      <c r="C348" s="281"/>
      <c r="D348" s="282"/>
      <c r="E348" s="282"/>
      <c r="F348" s="282"/>
      <c r="G348" s="282"/>
      <c r="H348" s="282"/>
      <c r="I348" s="282"/>
      <c r="J348" s="283"/>
      <c r="K348" s="281"/>
      <c r="L348" s="282"/>
      <c r="M348" s="282"/>
      <c r="N348" s="282"/>
      <c r="O348" s="281"/>
      <c r="P348" s="281"/>
      <c r="Q348" s="282"/>
      <c r="R348" s="284"/>
      <c r="S348"/>
      <c r="T348"/>
      <c r="U348"/>
      <c r="V348"/>
    </row>
    <row r="349" spans="1:22">
      <c r="A349" s="285"/>
      <c r="B349" s="286"/>
      <c r="C349" s="287"/>
      <c r="D349" s="288"/>
      <c r="E349" s="288"/>
      <c r="F349" s="288"/>
      <c r="G349" s="288"/>
      <c r="H349" s="288"/>
      <c r="I349" s="288"/>
      <c r="J349" s="289"/>
      <c r="K349" s="287"/>
      <c r="L349" s="288"/>
      <c r="M349" s="288"/>
      <c r="N349" s="288"/>
      <c r="O349" s="287"/>
      <c r="P349" s="287"/>
      <c r="Q349" s="288"/>
      <c r="R349" s="290"/>
      <c r="S349"/>
      <c r="T349"/>
      <c r="U349"/>
      <c r="V349"/>
    </row>
    <row r="350" spans="1:22">
      <c r="A350" s="285"/>
      <c r="B350" s="595"/>
      <c r="C350" s="596"/>
      <c r="D350" s="597"/>
      <c r="E350" s="597"/>
      <c r="F350" s="597"/>
      <c r="G350" s="597"/>
      <c r="H350" s="597"/>
      <c r="I350" s="597"/>
      <c r="J350" s="598"/>
      <c r="K350" s="596"/>
      <c r="L350" s="597"/>
      <c r="M350" s="597"/>
      <c r="N350" s="597"/>
      <c r="O350" s="596"/>
      <c r="P350" s="599"/>
      <c r="Q350" s="597"/>
      <c r="R350" s="600"/>
      <c r="S350"/>
      <c r="T350"/>
      <c r="U350"/>
      <c r="V350"/>
    </row>
    <row r="351" spans="1:22">
      <c r="A351" s="285"/>
      <c r="B351" s="264"/>
      <c r="C351" s="281"/>
      <c r="D351" s="282"/>
      <c r="E351" s="282"/>
      <c r="F351" s="282"/>
      <c r="G351" s="282"/>
      <c r="H351" s="282"/>
      <c r="I351" s="282"/>
      <c r="J351" s="283"/>
      <c r="K351" s="281"/>
      <c r="L351" s="282"/>
      <c r="M351" s="282"/>
      <c r="N351" s="282"/>
      <c r="O351" s="281"/>
      <c r="P351" s="281"/>
      <c r="Q351" s="282"/>
      <c r="R351" s="284"/>
      <c r="S351"/>
      <c r="T351"/>
      <c r="U351"/>
      <c r="V351"/>
    </row>
    <row r="352" spans="1:22">
      <c r="A352" s="285"/>
      <c r="B352" s="286"/>
      <c r="C352" s="287"/>
      <c r="D352" s="288"/>
      <c r="E352" s="288"/>
      <c r="F352" s="288"/>
      <c r="G352" s="288"/>
      <c r="H352" s="288"/>
      <c r="I352" s="288"/>
      <c r="J352" s="289"/>
      <c r="K352" s="287"/>
      <c r="L352" s="288"/>
      <c r="M352" s="288"/>
      <c r="N352" s="288"/>
      <c r="O352" s="287"/>
      <c r="P352" s="287"/>
      <c r="Q352" s="288"/>
      <c r="R352" s="290"/>
      <c r="S352"/>
      <c r="T352"/>
      <c r="U352"/>
      <c r="V352"/>
    </row>
    <row r="353" spans="1:22">
      <c r="A353" s="285"/>
      <c r="B353" s="595"/>
      <c r="C353" s="596"/>
      <c r="D353" s="597"/>
      <c r="E353" s="597"/>
      <c r="F353" s="597"/>
      <c r="G353" s="597"/>
      <c r="H353" s="597"/>
      <c r="I353" s="597"/>
      <c r="J353" s="598"/>
      <c r="K353" s="596"/>
      <c r="L353" s="597"/>
      <c r="M353" s="597"/>
      <c r="N353" s="597"/>
      <c r="O353" s="596"/>
      <c r="P353" s="599"/>
      <c r="Q353" s="597"/>
      <c r="R353" s="600"/>
      <c r="S353"/>
      <c r="T353"/>
      <c r="U353"/>
      <c r="V353"/>
    </row>
    <row r="354" spans="1:22">
      <c r="A354" s="285"/>
      <c r="B354" s="264"/>
      <c r="C354" s="281"/>
      <c r="D354" s="282"/>
      <c r="E354" s="282"/>
      <c r="F354" s="282"/>
      <c r="G354" s="282"/>
      <c r="H354" s="282"/>
      <c r="I354" s="282"/>
      <c r="J354" s="283"/>
      <c r="K354" s="281"/>
      <c r="L354" s="282"/>
      <c r="M354" s="282"/>
      <c r="N354" s="282"/>
      <c r="O354" s="281"/>
      <c r="P354" s="281"/>
      <c r="Q354" s="282"/>
      <c r="R354" s="284"/>
      <c r="S354"/>
      <c r="T354"/>
      <c r="U354"/>
      <c r="V354"/>
    </row>
    <row r="355" spans="1:22">
      <c r="A355" s="285"/>
      <c r="B355" s="286"/>
      <c r="C355" s="287"/>
      <c r="D355" s="288"/>
      <c r="E355" s="288"/>
      <c r="F355" s="288"/>
      <c r="G355" s="288"/>
      <c r="H355" s="288"/>
      <c r="I355" s="288"/>
      <c r="J355" s="289"/>
      <c r="K355" s="287"/>
      <c r="L355" s="288"/>
      <c r="M355" s="288"/>
      <c r="N355" s="288"/>
      <c r="O355" s="287"/>
      <c r="P355" s="287"/>
      <c r="Q355" s="288"/>
      <c r="R355" s="290"/>
      <c r="S355"/>
      <c r="T355"/>
      <c r="U355"/>
      <c r="V355"/>
    </row>
    <row r="356" spans="1:22">
      <c r="A356" s="285"/>
      <c r="B356" s="595"/>
      <c r="C356" s="596"/>
      <c r="D356" s="597"/>
      <c r="E356" s="597"/>
      <c r="F356" s="597"/>
      <c r="G356" s="597"/>
      <c r="H356" s="597"/>
      <c r="I356" s="597"/>
      <c r="J356" s="598"/>
      <c r="K356" s="596"/>
      <c r="L356" s="597"/>
      <c r="M356" s="597"/>
      <c r="N356" s="597"/>
      <c r="O356" s="596"/>
      <c r="P356" s="599"/>
      <c r="Q356" s="597"/>
      <c r="R356" s="600"/>
      <c r="S356"/>
      <c r="T356"/>
      <c r="U356"/>
      <c r="V356"/>
    </row>
    <row r="357" spans="1:22">
      <c r="A357" s="285"/>
      <c r="B357" s="264"/>
      <c r="C357" s="281"/>
      <c r="D357" s="282"/>
      <c r="E357" s="282"/>
      <c r="F357" s="282"/>
      <c r="G357" s="282"/>
      <c r="H357" s="282"/>
      <c r="I357" s="282"/>
      <c r="J357" s="283"/>
      <c r="K357" s="281"/>
      <c r="L357" s="282"/>
      <c r="M357" s="282"/>
      <c r="N357" s="282"/>
      <c r="O357" s="281"/>
      <c r="P357" s="281"/>
      <c r="Q357" s="282"/>
      <c r="R357" s="284"/>
      <c r="S357"/>
      <c r="T357"/>
      <c r="U357"/>
      <c r="V357"/>
    </row>
    <row r="358" spans="1:22">
      <c r="A358" s="285"/>
      <c r="B358" s="286"/>
      <c r="C358" s="287"/>
      <c r="D358" s="288"/>
      <c r="E358" s="288"/>
      <c r="F358" s="288"/>
      <c r="G358" s="288"/>
      <c r="H358" s="288"/>
      <c r="I358" s="288"/>
      <c r="J358" s="289"/>
      <c r="K358" s="287"/>
      <c r="L358" s="288"/>
      <c r="M358" s="288"/>
      <c r="N358" s="288"/>
      <c r="O358" s="287"/>
      <c r="P358" s="287"/>
      <c r="Q358" s="288"/>
      <c r="R358" s="290"/>
      <c r="S358"/>
      <c r="T358"/>
      <c r="U358"/>
      <c r="V358"/>
    </row>
    <row r="359" spans="1:22">
      <c r="A359" s="285"/>
      <c r="B359" s="595"/>
      <c r="C359" s="596"/>
      <c r="D359" s="597"/>
      <c r="E359" s="597"/>
      <c r="F359" s="597"/>
      <c r="G359" s="597"/>
      <c r="H359" s="597"/>
      <c r="I359" s="597"/>
      <c r="J359" s="598"/>
      <c r="K359" s="596"/>
      <c r="L359" s="597"/>
      <c r="M359" s="597"/>
      <c r="N359" s="597"/>
      <c r="O359" s="596"/>
      <c r="P359" s="599"/>
      <c r="Q359" s="597"/>
      <c r="R359" s="600"/>
      <c r="S359"/>
      <c r="T359"/>
      <c r="U359"/>
      <c r="V359"/>
    </row>
    <row r="360" spans="1:22">
      <c r="A360" s="285"/>
      <c r="B360" s="264"/>
      <c r="C360" s="281"/>
      <c r="D360" s="282"/>
      <c r="E360" s="282"/>
      <c r="F360" s="282"/>
      <c r="G360" s="282"/>
      <c r="H360" s="282"/>
      <c r="I360" s="282"/>
      <c r="J360" s="283"/>
      <c r="K360" s="281"/>
      <c r="L360" s="282"/>
      <c r="M360" s="282"/>
      <c r="N360" s="282"/>
      <c r="O360" s="281"/>
      <c r="P360" s="281"/>
      <c r="Q360" s="282"/>
      <c r="R360" s="284"/>
      <c r="S360"/>
      <c r="T360"/>
      <c r="U360"/>
      <c r="V360"/>
    </row>
    <row r="361" spans="1:22">
      <c r="A361" s="285"/>
      <c r="B361" s="286"/>
      <c r="C361" s="287"/>
      <c r="D361" s="288"/>
      <c r="E361" s="288"/>
      <c r="F361" s="288"/>
      <c r="G361" s="288"/>
      <c r="H361" s="288"/>
      <c r="I361" s="288"/>
      <c r="J361" s="289"/>
      <c r="K361" s="287"/>
      <c r="L361" s="288"/>
      <c r="M361" s="288"/>
      <c r="N361" s="288"/>
      <c r="O361" s="287"/>
      <c r="P361" s="287"/>
      <c r="Q361" s="288"/>
      <c r="R361" s="290"/>
      <c r="S361"/>
      <c r="T361"/>
      <c r="U361"/>
      <c r="V361"/>
    </row>
    <row r="362" spans="1:22">
      <c r="A362" s="285"/>
      <c r="B362" s="595"/>
      <c r="C362" s="596"/>
      <c r="D362" s="597"/>
      <c r="E362" s="597"/>
      <c r="F362" s="597"/>
      <c r="G362" s="597"/>
      <c r="H362" s="597"/>
      <c r="I362" s="597"/>
      <c r="J362" s="598"/>
      <c r="K362" s="596"/>
      <c r="L362" s="597"/>
      <c r="M362" s="597"/>
      <c r="N362" s="597"/>
      <c r="O362" s="596"/>
      <c r="P362" s="599"/>
      <c r="Q362" s="597"/>
      <c r="R362" s="600"/>
      <c r="S362"/>
      <c r="T362"/>
      <c r="U362"/>
      <c r="V362"/>
    </row>
    <row r="363" spans="1:22">
      <c r="A363" s="285"/>
      <c r="B363" s="264"/>
      <c r="C363" s="281"/>
      <c r="D363" s="282"/>
      <c r="E363" s="282"/>
      <c r="F363" s="282"/>
      <c r="G363" s="282"/>
      <c r="H363" s="282"/>
      <c r="I363" s="282"/>
      <c r="J363" s="283"/>
      <c r="K363" s="281"/>
      <c r="L363" s="282"/>
      <c r="M363" s="282"/>
      <c r="N363" s="282"/>
      <c r="O363" s="281"/>
      <c r="P363" s="281"/>
      <c r="Q363" s="282"/>
      <c r="R363" s="284"/>
      <c r="S363"/>
      <c r="T363"/>
      <c r="U363"/>
      <c r="V363"/>
    </row>
    <row r="364" spans="1:22">
      <c r="A364" s="285"/>
      <c r="B364" s="286"/>
      <c r="C364" s="287"/>
      <c r="D364" s="288"/>
      <c r="E364" s="288"/>
      <c r="F364" s="288"/>
      <c r="G364" s="288"/>
      <c r="H364" s="288"/>
      <c r="I364" s="288"/>
      <c r="J364" s="289"/>
      <c r="K364" s="287"/>
      <c r="L364" s="288"/>
      <c r="M364" s="288"/>
      <c r="N364" s="288"/>
      <c r="O364" s="287"/>
      <c r="P364" s="287"/>
      <c r="Q364" s="288"/>
      <c r="R364" s="290"/>
      <c r="S364"/>
      <c r="T364"/>
      <c r="U364"/>
      <c r="V364"/>
    </row>
    <row r="365" spans="1:22">
      <c r="A365" s="292"/>
      <c r="B365" s="595"/>
      <c r="C365" s="596"/>
      <c r="D365" s="597"/>
      <c r="E365" s="597"/>
      <c r="F365" s="597"/>
      <c r="G365" s="597"/>
      <c r="H365" s="597"/>
      <c r="I365" s="597"/>
      <c r="J365" s="598"/>
      <c r="K365" s="596"/>
      <c r="L365" s="597"/>
      <c r="M365" s="597"/>
      <c r="N365" s="597"/>
      <c r="O365" s="596"/>
      <c r="P365" s="599"/>
      <c r="Q365" s="597"/>
      <c r="R365" s="600"/>
      <c r="S365"/>
      <c r="T365"/>
      <c r="U365"/>
      <c r="V365"/>
    </row>
    <row r="366" spans="1:22">
      <c r="A366" s="280"/>
      <c r="B366" s="264"/>
      <c r="C366" s="281"/>
      <c r="D366" s="282"/>
      <c r="E366" s="282"/>
      <c r="F366" s="282"/>
      <c r="G366" s="282"/>
      <c r="H366" s="282"/>
      <c r="I366" s="282"/>
      <c r="J366" s="283"/>
      <c r="K366" s="281"/>
      <c r="L366" s="282"/>
      <c r="M366" s="282"/>
      <c r="N366" s="282"/>
      <c r="O366" s="281"/>
      <c r="P366" s="281"/>
      <c r="Q366" s="282"/>
      <c r="R366" s="284"/>
      <c r="S366"/>
      <c r="T366"/>
      <c r="U366"/>
      <c r="V366"/>
    </row>
    <row r="367" spans="1:22">
      <c r="A367" s="285"/>
      <c r="B367" s="286"/>
      <c r="C367" s="287"/>
      <c r="D367" s="288"/>
      <c r="E367" s="288"/>
      <c r="F367" s="288"/>
      <c r="G367" s="288"/>
      <c r="H367" s="288"/>
      <c r="I367" s="288"/>
      <c r="J367" s="289"/>
      <c r="K367" s="287"/>
      <c r="L367" s="288"/>
      <c r="M367" s="288"/>
      <c r="N367" s="288"/>
      <c r="O367" s="287"/>
      <c r="P367" s="287"/>
      <c r="Q367" s="288"/>
      <c r="R367" s="290"/>
      <c r="S367"/>
      <c r="T367"/>
      <c r="U367"/>
      <c r="V367"/>
    </row>
    <row r="368" spans="1:22">
      <c r="A368" s="285"/>
      <c r="B368" s="595"/>
      <c r="C368" s="596"/>
      <c r="D368" s="597"/>
      <c r="E368" s="597"/>
      <c r="F368" s="597"/>
      <c r="G368" s="597"/>
      <c r="H368" s="597"/>
      <c r="I368" s="597"/>
      <c r="J368" s="598"/>
      <c r="K368" s="596"/>
      <c r="L368" s="597"/>
      <c r="M368" s="597"/>
      <c r="N368" s="597"/>
      <c r="O368" s="596"/>
      <c r="P368" s="599"/>
      <c r="Q368" s="597"/>
      <c r="R368" s="600"/>
      <c r="S368"/>
      <c r="T368"/>
      <c r="U368"/>
      <c r="V368"/>
    </row>
    <row r="369" spans="1:22">
      <c r="A369" s="285"/>
      <c r="B369" s="264"/>
      <c r="C369" s="281"/>
      <c r="D369" s="282"/>
      <c r="E369" s="282"/>
      <c r="F369" s="282"/>
      <c r="G369" s="282"/>
      <c r="H369" s="282"/>
      <c r="I369" s="282"/>
      <c r="J369" s="283"/>
      <c r="K369" s="281"/>
      <c r="L369" s="282"/>
      <c r="M369" s="282"/>
      <c r="N369" s="282"/>
      <c r="O369" s="281"/>
      <c r="P369" s="281"/>
      <c r="Q369" s="282"/>
      <c r="R369" s="284"/>
      <c r="S369"/>
      <c r="T369"/>
      <c r="U369"/>
      <c r="V369"/>
    </row>
    <row r="370" spans="1:22">
      <c r="A370" s="285"/>
      <c r="B370" s="286"/>
      <c r="C370" s="287"/>
      <c r="D370" s="288"/>
      <c r="E370" s="288"/>
      <c r="F370" s="288"/>
      <c r="G370" s="288"/>
      <c r="H370" s="288"/>
      <c r="I370" s="288"/>
      <c r="J370" s="289"/>
      <c r="K370" s="287"/>
      <c r="L370" s="288"/>
      <c r="M370" s="288"/>
      <c r="N370" s="288"/>
      <c r="O370" s="287"/>
      <c r="P370" s="287"/>
      <c r="Q370" s="288"/>
      <c r="R370" s="290"/>
      <c r="S370"/>
      <c r="T370"/>
      <c r="U370"/>
      <c r="V370"/>
    </row>
    <row r="371" spans="1:22">
      <c r="A371" s="285"/>
      <c r="B371" s="595"/>
      <c r="C371" s="596"/>
      <c r="D371" s="597"/>
      <c r="E371" s="597"/>
      <c r="F371" s="597"/>
      <c r="G371" s="597"/>
      <c r="H371" s="597"/>
      <c r="I371" s="597"/>
      <c r="J371" s="598"/>
      <c r="K371" s="596"/>
      <c r="L371" s="597"/>
      <c r="M371" s="597"/>
      <c r="N371" s="597"/>
      <c r="O371" s="596"/>
      <c r="P371" s="599"/>
      <c r="Q371" s="597"/>
      <c r="R371" s="600"/>
      <c r="S371"/>
      <c r="T371"/>
      <c r="U371"/>
      <c r="V371"/>
    </row>
    <row r="372" spans="1:22">
      <c r="A372" s="285"/>
      <c r="B372" s="264"/>
      <c r="C372" s="281"/>
      <c r="D372" s="282"/>
      <c r="E372" s="282"/>
      <c r="F372" s="282"/>
      <c r="G372" s="282"/>
      <c r="H372" s="282"/>
      <c r="I372" s="282"/>
      <c r="J372" s="283"/>
      <c r="K372" s="281"/>
      <c r="L372" s="282"/>
      <c r="M372" s="282"/>
      <c r="N372" s="282"/>
      <c r="O372" s="281"/>
      <c r="P372" s="281"/>
      <c r="Q372" s="282"/>
      <c r="R372" s="284"/>
      <c r="S372"/>
      <c r="T372"/>
      <c r="U372"/>
      <c r="V372"/>
    </row>
    <row r="373" spans="1:22">
      <c r="A373" s="285"/>
      <c r="B373" s="286"/>
      <c r="C373" s="287"/>
      <c r="D373" s="288"/>
      <c r="E373" s="288"/>
      <c r="F373" s="288"/>
      <c r="G373" s="288"/>
      <c r="H373" s="288"/>
      <c r="I373" s="288"/>
      <c r="J373" s="289"/>
      <c r="K373" s="287"/>
      <c r="L373" s="288"/>
      <c r="M373" s="288"/>
      <c r="N373" s="288"/>
      <c r="O373" s="287"/>
      <c r="P373" s="287"/>
      <c r="Q373" s="288"/>
      <c r="R373" s="290"/>
      <c r="S373"/>
      <c r="T373"/>
      <c r="U373"/>
      <c r="V373"/>
    </row>
    <row r="374" spans="1:22">
      <c r="A374" s="285"/>
      <c r="B374" s="595"/>
      <c r="C374" s="596"/>
      <c r="D374" s="597"/>
      <c r="E374" s="597"/>
      <c r="F374" s="597"/>
      <c r="G374" s="597"/>
      <c r="H374" s="597"/>
      <c r="I374" s="597"/>
      <c r="J374" s="598"/>
      <c r="K374" s="596"/>
      <c r="L374" s="597"/>
      <c r="M374" s="597"/>
      <c r="N374" s="597"/>
      <c r="O374" s="596"/>
      <c r="P374" s="599"/>
      <c r="Q374" s="597"/>
      <c r="R374" s="600"/>
      <c r="S374"/>
      <c r="T374"/>
      <c r="U374"/>
      <c r="V374"/>
    </row>
    <row r="375" spans="1:22">
      <c r="A375" s="285"/>
      <c r="B375" s="264"/>
      <c r="C375" s="281"/>
      <c r="D375" s="282"/>
      <c r="E375" s="282"/>
      <c r="F375" s="282"/>
      <c r="G375" s="282"/>
      <c r="H375" s="282"/>
      <c r="I375" s="282"/>
      <c r="J375" s="283"/>
      <c r="K375" s="281"/>
      <c r="L375" s="282"/>
      <c r="M375" s="282"/>
      <c r="N375" s="282"/>
      <c r="O375" s="281"/>
      <c r="P375" s="281"/>
      <c r="Q375" s="282"/>
      <c r="R375" s="284"/>
      <c r="S375"/>
      <c r="T375"/>
      <c r="U375"/>
      <c r="V375"/>
    </row>
    <row r="376" spans="1:22">
      <c r="A376" s="285"/>
      <c r="B376" s="286"/>
      <c r="C376" s="287"/>
      <c r="D376" s="288"/>
      <c r="E376" s="288"/>
      <c r="F376" s="288"/>
      <c r="G376" s="288"/>
      <c r="H376" s="288"/>
      <c r="I376" s="288"/>
      <c r="J376" s="289"/>
      <c r="K376" s="287"/>
      <c r="L376" s="288"/>
      <c r="M376" s="288"/>
      <c r="N376" s="288"/>
      <c r="O376" s="287"/>
      <c r="P376" s="287"/>
      <c r="Q376" s="288"/>
      <c r="R376" s="290"/>
      <c r="S376"/>
      <c r="T376"/>
      <c r="U376"/>
      <c r="V376"/>
    </row>
    <row r="377" spans="1:22">
      <c r="A377" s="285"/>
      <c r="B377" s="595"/>
      <c r="C377" s="596"/>
      <c r="D377" s="597"/>
      <c r="E377" s="597"/>
      <c r="F377" s="597"/>
      <c r="G377" s="597"/>
      <c r="H377" s="597"/>
      <c r="I377" s="597"/>
      <c r="J377" s="598"/>
      <c r="K377" s="596"/>
      <c r="L377" s="597"/>
      <c r="M377" s="597"/>
      <c r="N377" s="597"/>
      <c r="O377" s="596"/>
      <c r="P377" s="599"/>
      <c r="Q377" s="597"/>
      <c r="R377" s="600"/>
      <c r="S377"/>
      <c r="T377"/>
      <c r="U377"/>
      <c r="V377"/>
    </row>
    <row r="378" spans="1:22">
      <c r="A378" s="285"/>
      <c r="B378" s="264"/>
      <c r="C378" s="281"/>
      <c r="D378" s="282"/>
      <c r="E378" s="282"/>
      <c r="F378" s="282"/>
      <c r="G378" s="282"/>
      <c r="H378" s="282"/>
      <c r="I378" s="282"/>
      <c r="J378" s="283"/>
      <c r="K378" s="281"/>
      <c r="L378" s="282"/>
      <c r="M378" s="282"/>
      <c r="N378" s="282"/>
      <c r="O378" s="281"/>
      <c r="P378" s="281"/>
      <c r="Q378" s="282"/>
      <c r="R378" s="284"/>
      <c r="S378"/>
      <c r="T378"/>
      <c r="U378"/>
      <c r="V378"/>
    </row>
    <row r="379" spans="1:22">
      <c r="A379" s="285"/>
      <c r="B379" s="286"/>
      <c r="C379" s="287"/>
      <c r="D379" s="288"/>
      <c r="E379" s="288"/>
      <c r="F379" s="288"/>
      <c r="G379" s="288"/>
      <c r="H379" s="288"/>
      <c r="I379" s="288"/>
      <c r="J379" s="289"/>
      <c r="K379" s="287"/>
      <c r="L379" s="288"/>
      <c r="M379" s="288"/>
      <c r="N379" s="288"/>
      <c r="O379" s="287"/>
      <c r="P379" s="287"/>
      <c r="Q379" s="288"/>
      <c r="R379" s="290"/>
      <c r="S379"/>
      <c r="T379"/>
      <c r="U379"/>
      <c r="V379"/>
    </row>
    <row r="380" spans="1:22">
      <c r="A380" s="285"/>
      <c r="B380" s="595"/>
      <c r="C380" s="596"/>
      <c r="D380" s="597"/>
      <c r="E380" s="597"/>
      <c r="F380" s="597"/>
      <c r="G380" s="597"/>
      <c r="H380" s="597"/>
      <c r="I380" s="597"/>
      <c r="J380" s="598"/>
      <c r="K380" s="596"/>
      <c r="L380" s="597"/>
      <c r="M380" s="597"/>
      <c r="N380" s="597"/>
      <c r="O380" s="596"/>
      <c r="P380" s="599"/>
      <c r="Q380" s="597"/>
      <c r="R380" s="600"/>
      <c r="S380"/>
      <c r="T380"/>
      <c r="U380"/>
      <c r="V380"/>
    </row>
    <row r="381" spans="1:22">
      <c r="A381" s="285"/>
      <c r="B381" s="264"/>
      <c r="C381" s="281"/>
      <c r="D381" s="282"/>
      <c r="E381" s="282"/>
      <c r="F381" s="282"/>
      <c r="G381" s="282"/>
      <c r="H381" s="282"/>
      <c r="I381" s="282"/>
      <c r="J381" s="283"/>
      <c r="K381" s="281"/>
      <c r="L381" s="282"/>
      <c r="M381" s="282"/>
      <c r="N381" s="282"/>
      <c r="O381" s="281"/>
      <c r="P381" s="281"/>
      <c r="Q381" s="282"/>
      <c r="R381" s="284"/>
      <c r="S381"/>
      <c r="T381"/>
      <c r="U381"/>
      <c r="V381"/>
    </row>
    <row r="382" spans="1:22">
      <c r="A382" s="285"/>
      <c r="B382" s="286"/>
      <c r="C382" s="287"/>
      <c r="D382" s="288"/>
      <c r="E382" s="288"/>
      <c r="F382" s="288"/>
      <c r="G382" s="288"/>
      <c r="H382" s="288"/>
      <c r="I382" s="288"/>
      <c r="J382" s="289"/>
      <c r="K382" s="287"/>
      <c r="L382" s="288"/>
      <c r="M382" s="288"/>
      <c r="N382" s="288"/>
      <c r="O382" s="287"/>
      <c r="P382" s="287"/>
      <c r="Q382" s="288"/>
      <c r="R382" s="290"/>
      <c r="S382"/>
      <c r="T382"/>
      <c r="U382"/>
      <c r="V382"/>
    </row>
    <row r="383" spans="1:22">
      <c r="A383" s="285"/>
      <c r="B383" s="595"/>
      <c r="C383" s="596"/>
      <c r="D383" s="597"/>
      <c r="E383" s="597"/>
      <c r="F383" s="597"/>
      <c r="G383" s="597"/>
      <c r="H383" s="597"/>
      <c r="I383" s="597"/>
      <c r="J383" s="598"/>
      <c r="K383" s="596"/>
      <c r="L383" s="597"/>
      <c r="M383" s="597"/>
      <c r="N383" s="597"/>
      <c r="O383" s="596"/>
      <c r="P383" s="599"/>
      <c r="Q383" s="597"/>
      <c r="R383" s="600"/>
      <c r="S383"/>
      <c r="T383"/>
      <c r="U383"/>
      <c r="V383"/>
    </row>
    <row r="384" spans="1:22">
      <c r="A384" s="285"/>
      <c r="B384" s="264"/>
      <c r="C384" s="281"/>
      <c r="D384" s="282"/>
      <c r="E384" s="282"/>
      <c r="F384" s="282"/>
      <c r="G384" s="282"/>
      <c r="H384" s="282"/>
      <c r="I384" s="282"/>
      <c r="J384" s="283"/>
      <c r="K384" s="281"/>
      <c r="L384" s="282"/>
      <c r="M384" s="282"/>
      <c r="N384" s="282"/>
      <c r="O384" s="281"/>
      <c r="P384" s="281"/>
      <c r="Q384" s="282"/>
      <c r="R384" s="284"/>
      <c r="S384"/>
      <c r="T384"/>
      <c r="U384"/>
      <c r="V384"/>
    </row>
    <row r="385" spans="1:22">
      <c r="A385" s="285"/>
      <c r="B385" s="286"/>
      <c r="C385" s="287"/>
      <c r="D385" s="288"/>
      <c r="E385" s="288"/>
      <c r="F385" s="288"/>
      <c r="G385" s="288"/>
      <c r="H385" s="288"/>
      <c r="I385" s="288"/>
      <c r="J385" s="289"/>
      <c r="K385" s="287"/>
      <c r="L385" s="288"/>
      <c r="M385" s="288"/>
      <c r="N385" s="288"/>
      <c r="O385" s="287"/>
      <c r="P385" s="287"/>
      <c r="Q385" s="288"/>
      <c r="R385" s="290"/>
      <c r="S385"/>
      <c r="T385"/>
      <c r="U385"/>
      <c r="V385"/>
    </row>
    <row r="386" spans="1:22">
      <c r="A386" s="285"/>
      <c r="B386" s="595"/>
      <c r="C386" s="596"/>
      <c r="D386" s="597"/>
      <c r="E386" s="597"/>
      <c r="F386" s="597"/>
      <c r="G386" s="597"/>
      <c r="H386" s="597"/>
      <c r="I386" s="597"/>
      <c r="J386" s="598"/>
      <c r="K386" s="596"/>
      <c r="L386" s="597"/>
      <c r="M386" s="597"/>
      <c r="N386" s="597"/>
      <c r="O386" s="596"/>
      <c r="P386" s="599"/>
      <c r="Q386" s="597"/>
      <c r="R386" s="600"/>
      <c r="S386"/>
      <c r="T386"/>
      <c r="U386"/>
      <c r="V386"/>
    </row>
    <row r="387" spans="1:22">
      <c r="A387" s="285"/>
      <c r="B387" s="264"/>
      <c r="C387" s="281"/>
      <c r="D387" s="282"/>
      <c r="E387" s="282"/>
      <c r="F387" s="282"/>
      <c r="G387" s="282"/>
      <c r="H387" s="282"/>
      <c r="I387" s="282"/>
      <c r="J387" s="283"/>
      <c r="K387" s="281"/>
      <c r="L387" s="282"/>
      <c r="M387" s="282"/>
      <c r="N387" s="282"/>
      <c r="O387" s="281"/>
      <c r="P387" s="281"/>
      <c r="Q387" s="282"/>
      <c r="R387" s="284"/>
      <c r="S387"/>
      <c r="T387"/>
      <c r="U387"/>
      <c r="V387"/>
    </row>
    <row r="388" spans="1:22">
      <c r="A388" s="285"/>
      <c r="B388" s="286"/>
      <c r="C388" s="287"/>
      <c r="D388" s="288"/>
      <c r="E388" s="288"/>
      <c r="F388" s="288"/>
      <c r="G388" s="288"/>
      <c r="H388" s="288"/>
      <c r="I388" s="288"/>
      <c r="J388" s="289"/>
      <c r="K388" s="287"/>
      <c r="L388" s="288"/>
      <c r="M388" s="288"/>
      <c r="N388" s="288"/>
      <c r="O388" s="287"/>
      <c r="P388" s="287"/>
      <c r="Q388" s="288"/>
      <c r="R388" s="290"/>
      <c r="S388"/>
      <c r="T388"/>
      <c r="U388"/>
      <c r="V388"/>
    </row>
    <row r="389" spans="1:22">
      <c r="A389" s="285"/>
      <c r="B389" s="595"/>
      <c r="C389" s="596"/>
      <c r="D389" s="597"/>
      <c r="E389" s="597"/>
      <c r="F389" s="597"/>
      <c r="G389" s="597"/>
      <c r="H389" s="597"/>
      <c r="I389" s="597"/>
      <c r="J389" s="598"/>
      <c r="K389" s="596"/>
      <c r="L389" s="597"/>
      <c r="M389" s="597"/>
      <c r="N389" s="597"/>
      <c r="O389" s="596"/>
      <c r="P389" s="599"/>
      <c r="Q389" s="597"/>
      <c r="R389" s="600"/>
      <c r="S389"/>
      <c r="T389"/>
      <c r="U389"/>
      <c r="V389"/>
    </row>
    <row r="390" spans="1:22">
      <c r="A390" s="285"/>
      <c r="B390" s="264"/>
      <c r="C390" s="281"/>
      <c r="D390" s="282"/>
      <c r="E390" s="282"/>
      <c r="F390" s="282"/>
      <c r="G390" s="282"/>
      <c r="H390" s="282"/>
      <c r="I390" s="282"/>
      <c r="J390" s="283"/>
      <c r="K390" s="281"/>
      <c r="L390" s="282"/>
      <c r="M390" s="282"/>
      <c r="N390" s="282"/>
      <c r="O390" s="281"/>
      <c r="P390" s="281"/>
      <c r="Q390" s="282"/>
      <c r="R390" s="284"/>
      <c r="S390"/>
      <c r="T390"/>
      <c r="U390"/>
      <c r="V390"/>
    </row>
    <row r="391" spans="1:22">
      <c r="A391" s="285"/>
      <c r="B391" s="286"/>
      <c r="C391" s="287"/>
      <c r="D391" s="288"/>
      <c r="E391" s="288"/>
      <c r="F391" s="288"/>
      <c r="G391" s="288"/>
      <c r="H391" s="288"/>
      <c r="I391" s="288"/>
      <c r="J391" s="289"/>
      <c r="K391" s="287"/>
      <c r="L391" s="288"/>
      <c r="M391" s="288"/>
      <c r="N391" s="288"/>
      <c r="O391" s="287"/>
      <c r="P391" s="287"/>
      <c r="Q391" s="288"/>
      <c r="R391" s="290"/>
      <c r="S391"/>
      <c r="T391"/>
      <c r="U391"/>
      <c r="V391"/>
    </row>
    <row r="392" spans="1:22">
      <c r="A392" s="285"/>
      <c r="B392" s="595"/>
      <c r="C392" s="596"/>
      <c r="D392" s="597"/>
      <c r="E392" s="597"/>
      <c r="F392" s="597"/>
      <c r="G392" s="597"/>
      <c r="H392" s="597"/>
      <c r="I392" s="597"/>
      <c r="J392" s="598"/>
      <c r="K392" s="596"/>
      <c r="L392" s="597"/>
      <c r="M392" s="597"/>
      <c r="N392" s="597"/>
      <c r="O392" s="596"/>
      <c r="P392" s="599"/>
      <c r="Q392" s="597"/>
      <c r="R392" s="600"/>
      <c r="S392"/>
      <c r="T392"/>
      <c r="U392"/>
      <c r="V392"/>
    </row>
    <row r="393" spans="1:22">
      <c r="A393" s="285"/>
      <c r="B393" s="264"/>
      <c r="C393" s="281"/>
      <c r="D393" s="282"/>
      <c r="E393" s="282"/>
      <c r="F393" s="282"/>
      <c r="G393" s="282"/>
      <c r="H393" s="282"/>
      <c r="I393" s="282"/>
      <c r="J393" s="283"/>
      <c r="K393" s="281"/>
      <c r="L393" s="282"/>
      <c r="M393" s="282"/>
      <c r="N393" s="282"/>
      <c r="O393" s="281"/>
      <c r="P393" s="281"/>
      <c r="Q393" s="282"/>
      <c r="R393" s="284"/>
      <c r="S393"/>
      <c r="T393"/>
      <c r="U393"/>
      <c r="V393"/>
    </row>
    <row r="394" spans="1:22">
      <c r="A394" s="285"/>
      <c r="B394" s="286"/>
      <c r="C394" s="287"/>
      <c r="D394" s="288"/>
      <c r="E394" s="288"/>
      <c r="F394" s="288"/>
      <c r="G394" s="288"/>
      <c r="H394" s="288"/>
      <c r="I394" s="288"/>
      <c r="J394" s="289"/>
      <c r="K394" s="287"/>
      <c r="L394" s="288"/>
      <c r="M394" s="288"/>
      <c r="N394" s="288"/>
      <c r="O394" s="287"/>
      <c r="P394" s="287"/>
      <c r="Q394" s="288"/>
      <c r="R394" s="290"/>
      <c r="S394"/>
      <c r="T394"/>
      <c r="U394"/>
      <c r="V394"/>
    </row>
    <row r="395" spans="1:22">
      <c r="A395" s="285"/>
      <c r="B395" s="595"/>
      <c r="C395" s="596"/>
      <c r="D395" s="597"/>
      <c r="E395" s="597"/>
      <c r="F395" s="597"/>
      <c r="G395" s="597"/>
      <c r="H395" s="597"/>
      <c r="I395" s="597"/>
      <c r="J395" s="598"/>
      <c r="K395" s="596"/>
      <c r="L395" s="597"/>
      <c r="M395" s="597"/>
      <c r="N395" s="597"/>
      <c r="O395" s="596"/>
      <c r="P395" s="599"/>
      <c r="Q395" s="597"/>
      <c r="R395" s="600"/>
      <c r="S395"/>
      <c r="T395"/>
      <c r="U395"/>
      <c r="V395"/>
    </row>
    <row r="396" spans="1:22">
      <c r="A396" s="285"/>
      <c r="B396" s="264"/>
      <c r="C396" s="281"/>
      <c r="D396" s="282"/>
      <c r="E396" s="282"/>
      <c r="F396" s="282"/>
      <c r="G396" s="282"/>
      <c r="H396" s="282"/>
      <c r="I396" s="282"/>
      <c r="J396" s="283"/>
      <c r="K396" s="281"/>
      <c r="L396" s="282"/>
      <c r="M396" s="282"/>
      <c r="N396" s="282"/>
      <c r="O396" s="281"/>
      <c r="P396" s="281"/>
      <c r="Q396" s="282"/>
      <c r="R396" s="284"/>
      <c r="S396"/>
      <c r="T396"/>
      <c r="U396"/>
      <c r="V396"/>
    </row>
    <row r="397" spans="1:22">
      <c r="A397" s="285"/>
      <c r="B397" s="286"/>
      <c r="C397" s="287"/>
      <c r="D397" s="288"/>
      <c r="E397" s="288"/>
      <c r="F397" s="288"/>
      <c r="G397" s="288"/>
      <c r="H397" s="288"/>
      <c r="I397" s="288"/>
      <c r="J397" s="289"/>
      <c r="K397" s="287"/>
      <c r="L397" s="288"/>
      <c r="M397" s="288"/>
      <c r="N397" s="288"/>
      <c r="O397" s="287"/>
      <c r="P397" s="287"/>
      <c r="Q397" s="288"/>
      <c r="R397" s="290"/>
      <c r="S397"/>
      <c r="T397"/>
      <c r="U397"/>
      <c r="V397"/>
    </row>
    <row r="398" spans="1:22">
      <c r="A398" s="285"/>
      <c r="B398" s="595"/>
      <c r="C398" s="596"/>
      <c r="D398" s="597"/>
      <c r="E398" s="597"/>
      <c r="F398" s="597"/>
      <c r="G398" s="597"/>
      <c r="H398" s="597"/>
      <c r="I398" s="597"/>
      <c r="J398" s="598"/>
      <c r="K398" s="596"/>
      <c r="L398" s="597"/>
      <c r="M398" s="597"/>
      <c r="N398" s="597"/>
      <c r="O398" s="596"/>
      <c r="P398" s="599"/>
      <c r="Q398" s="597"/>
      <c r="R398" s="600"/>
      <c r="S398"/>
      <c r="T398"/>
      <c r="U398"/>
      <c r="V398"/>
    </row>
    <row r="399" spans="1:22">
      <c r="A399" s="285"/>
      <c r="B399" s="264"/>
      <c r="C399" s="281"/>
      <c r="D399" s="282"/>
      <c r="E399" s="282"/>
      <c r="F399" s="282"/>
      <c r="G399" s="282"/>
      <c r="H399" s="282"/>
      <c r="I399" s="282"/>
      <c r="J399" s="283"/>
      <c r="K399" s="281"/>
      <c r="L399" s="282"/>
      <c r="M399" s="282"/>
      <c r="N399" s="282"/>
      <c r="O399" s="281"/>
      <c r="P399" s="281"/>
      <c r="Q399" s="282"/>
      <c r="R399" s="284"/>
      <c r="S399"/>
      <c r="T399"/>
      <c r="U399"/>
      <c r="V399"/>
    </row>
    <row r="400" spans="1:22">
      <c r="A400" s="285"/>
      <c r="B400" s="286"/>
      <c r="C400" s="287"/>
      <c r="D400" s="288"/>
      <c r="E400" s="288"/>
      <c r="F400" s="288"/>
      <c r="G400" s="288"/>
      <c r="H400" s="288"/>
      <c r="I400" s="288"/>
      <c r="J400" s="289"/>
      <c r="K400" s="287"/>
      <c r="L400" s="288"/>
      <c r="M400" s="288"/>
      <c r="N400" s="288"/>
      <c r="O400" s="287"/>
      <c r="P400" s="287"/>
      <c r="Q400" s="288"/>
      <c r="R400" s="290"/>
      <c r="S400"/>
      <c r="T400"/>
      <c r="U400"/>
      <c r="V400"/>
    </row>
    <row r="401" spans="1:22">
      <c r="A401" s="292"/>
      <c r="B401" s="595"/>
      <c r="C401" s="596"/>
      <c r="D401" s="597"/>
      <c r="E401" s="597"/>
      <c r="F401" s="597"/>
      <c r="G401" s="597"/>
      <c r="H401" s="597"/>
      <c r="I401" s="597"/>
      <c r="J401" s="598"/>
      <c r="K401" s="596"/>
      <c r="L401" s="597"/>
      <c r="M401" s="597"/>
      <c r="N401" s="597"/>
      <c r="O401" s="596"/>
      <c r="P401" s="599"/>
      <c r="Q401" s="597"/>
      <c r="R401" s="600"/>
      <c r="S401"/>
      <c r="T401"/>
      <c r="U401"/>
      <c r="V401"/>
    </row>
    <row r="402" spans="1:22">
      <c r="A402" s="280"/>
      <c r="B402" s="264"/>
      <c r="C402" s="281"/>
      <c r="D402" s="282"/>
      <c r="E402" s="282"/>
      <c r="F402" s="282"/>
      <c r="G402" s="282"/>
      <c r="H402" s="282"/>
      <c r="I402" s="282"/>
      <c r="J402" s="283"/>
      <c r="K402" s="281"/>
      <c r="L402" s="282"/>
      <c r="M402" s="282"/>
      <c r="N402" s="282"/>
      <c r="O402" s="281"/>
      <c r="P402" s="281"/>
      <c r="Q402" s="282"/>
      <c r="R402" s="284"/>
      <c r="S402"/>
      <c r="T402"/>
      <c r="U402"/>
      <c r="V402"/>
    </row>
    <row r="403" spans="1:22">
      <c r="A403" s="285"/>
      <c r="B403" s="286"/>
      <c r="C403" s="287"/>
      <c r="D403" s="288"/>
      <c r="E403" s="288"/>
      <c r="F403" s="288"/>
      <c r="G403" s="288"/>
      <c r="H403" s="288"/>
      <c r="I403" s="288"/>
      <c r="J403" s="289"/>
      <c r="K403" s="287"/>
      <c r="L403" s="288"/>
      <c r="M403" s="288"/>
      <c r="N403" s="288"/>
      <c r="O403" s="287"/>
      <c r="P403" s="287"/>
      <c r="Q403" s="288"/>
      <c r="R403" s="290"/>
      <c r="S403"/>
      <c r="T403"/>
      <c r="U403"/>
      <c r="V403"/>
    </row>
    <row r="404" spans="1:22">
      <c r="A404" s="285"/>
      <c r="B404" s="595"/>
      <c r="C404" s="596"/>
      <c r="D404" s="597"/>
      <c r="E404" s="597"/>
      <c r="F404" s="597"/>
      <c r="G404" s="597"/>
      <c r="H404" s="597"/>
      <c r="I404" s="597"/>
      <c r="J404" s="598"/>
      <c r="K404" s="596"/>
      <c r="L404" s="597"/>
      <c r="M404" s="597"/>
      <c r="N404" s="597"/>
      <c r="O404" s="596"/>
      <c r="P404" s="599"/>
      <c r="Q404" s="597"/>
      <c r="R404" s="600"/>
      <c r="S404"/>
      <c r="T404"/>
      <c r="U404"/>
      <c r="V404"/>
    </row>
    <row r="405" spans="1:22">
      <c r="A405" s="285"/>
      <c r="B405" s="264"/>
      <c r="C405" s="281"/>
      <c r="D405" s="282"/>
      <c r="E405" s="282"/>
      <c r="F405" s="282"/>
      <c r="G405" s="282"/>
      <c r="H405" s="282"/>
      <c r="I405" s="282"/>
      <c r="J405" s="283"/>
      <c r="K405" s="281"/>
      <c r="L405" s="282"/>
      <c r="M405" s="282"/>
      <c r="N405" s="282"/>
      <c r="O405" s="281"/>
      <c r="P405" s="281"/>
      <c r="Q405" s="282"/>
      <c r="R405" s="284"/>
      <c r="S405"/>
      <c r="T405"/>
      <c r="U405"/>
      <c r="V405"/>
    </row>
    <row r="406" spans="1:22">
      <c r="A406" s="285"/>
      <c r="B406" s="286"/>
      <c r="C406" s="287"/>
      <c r="D406" s="288"/>
      <c r="E406" s="288"/>
      <c r="F406" s="288"/>
      <c r="G406" s="288"/>
      <c r="H406" s="288"/>
      <c r="I406" s="288"/>
      <c r="J406" s="289"/>
      <c r="K406" s="287"/>
      <c r="L406" s="288"/>
      <c r="M406" s="288"/>
      <c r="N406" s="288"/>
      <c r="O406" s="287"/>
      <c r="P406" s="287"/>
      <c r="Q406" s="288"/>
      <c r="R406" s="290"/>
      <c r="S406"/>
      <c r="T406"/>
      <c r="U406"/>
      <c r="V406"/>
    </row>
    <row r="407" spans="1:22">
      <c r="A407" s="285"/>
      <c r="B407" s="595"/>
      <c r="C407" s="596"/>
      <c r="D407" s="597"/>
      <c r="E407" s="597"/>
      <c r="F407" s="597"/>
      <c r="G407" s="597"/>
      <c r="H407" s="597"/>
      <c r="I407" s="597"/>
      <c r="J407" s="598"/>
      <c r="K407" s="596"/>
      <c r="L407" s="597"/>
      <c r="M407" s="597"/>
      <c r="N407" s="597"/>
      <c r="O407" s="596"/>
      <c r="P407" s="599"/>
      <c r="Q407" s="597"/>
      <c r="R407" s="600"/>
      <c r="S407"/>
      <c r="T407"/>
      <c r="U407"/>
      <c r="V407"/>
    </row>
    <row r="408" spans="1:22">
      <c r="A408" s="285"/>
      <c r="B408" s="264"/>
      <c r="C408" s="281"/>
      <c r="D408" s="282"/>
      <c r="E408" s="282"/>
      <c r="F408" s="282"/>
      <c r="G408" s="282"/>
      <c r="H408" s="282"/>
      <c r="I408" s="282"/>
      <c r="J408" s="283"/>
      <c r="K408" s="281"/>
      <c r="L408" s="282"/>
      <c r="M408" s="282"/>
      <c r="N408" s="282"/>
      <c r="O408" s="281"/>
      <c r="P408" s="281"/>
      <c r="Q408" s="282"/>
      <c r="R408" s="284"/>
      <c r="S408"/>
      <c r="T408"/>
      <c r="U408"/>
      <c r="V408"/>
    </row>
    <row r="409" spans="1:22">
      <c r="A409" s="285"/>
      <c r="B409" s="286"/>
      <c r="C409" s="287"/>
      <c r="D409" s="288"/>
      <c r="E409" s="288"/>
      <c r="F409" s="288"/>
      <c r="G409" s="288"/>
      <c r="H409" s="288"/>
      <c r="I409" s="288"/>
      <c r="J409" s="289"/>
      <c r="K409" s="287"/>
      <c r="L409" s="288"/>
      <c r="M409" s="288"/>
      <c r="N409" s="288"/>
      <c r="O409" s="287"/>
      <c r="P409" s="287"/>
      <c r="Q409" s="288"/>
      <c r="R409" s="290"/>
      <c r="S409"/>
      <c r="T409"/>
      <c r="U409"/>
      <c r="V409"/>
    </row>
    <row r="410" spans="1:22">
      <c r="A410" s="285"/>
      <c r="B410" s="595"/>
      <c r="C410" s="596"/>
      <c r="D410" s="597"/>
      <c r="E410" s="597"/>
      <c r="F410" s="597"/>
      <c r="G410" s="597"/>
      <c r="H410" s="597"/>
      <c r="I410" s="597"/>
      <c r="J410" s="598"/>
      <c r="K410" s="596"/>
      <c r="L410" s="597"/>
      <c r="M410" s="597"/>
      <c r="N410" s="597"/>
      <c r="O410" s="596"/>
      <c r="P410" s="599"/>
      <c r="Q410" s="597"/>
      <c r="R410" s="600"/>
      <c r="S410"/>
      <c r="T410"/>
      <c r="U410"/>
      <c r="V410"/>
    </row>
    <row r="411" spans="1:22">
      <c r="A411" s="285"/>
      <c r="B411" s="264"/>
      <c r="C411" s="281"/>
      <c r="D411" s="282"/>
      <c r="E411" s="282"/>
      <c r="F411" s="282"/>
      <c r="G411" s="282"/>
      <c r="H411" s="282"/>
      <c r="I411" s="282"/>
      <c r="J411" s="283"/>
      <c r="K411" s="281"/>
      <c r="L411" s="282"/>
      <c r="M411" s="282"/>
      <c r="N411" s="282"/>
      <c r="O411" s="281"/>
      <c r="P411" s="281"/>
      <c r="Q411" s="282"/>
      <c r="R411" s="284"/>
      <c r="S411"/>
      <c r="T411"/>
      <c r="U411"/>
      <c r="V411"/>
    </row>
    <row r="412" spans="1:22">
      <c r="A412" s="285"/>
      <c r="B412" s="286"/>
      <c r="C412" s="287"/>
      <c r="D412" s="288"/>
      <c r="E412" s="288"/>
      <c r="F412" s="288"/>
      <c r="G412" s="288"/>
      <c r="H412" s="288"/>
      <c r="I412" s="288"/>
      <c r="J412" s="289"/>
      <c r="K412" s="287"/>
      <c r="L412" s="288"/>
      <c r="M412" s="288"/>
      <c r="N412" s="288"/>
      <c r="O412" s="287"/>
      <c r="P412" s="287"/>
      <c r="Q412" s="288"/>
      <c r="R412" s="290"/>
      <c r="S412"/>
      <c r="T412"/>
      <c r="U412"/>
      <c r="V412"/>
    </row>
    <row r="413" spans="1:22">
      <c r="A413" s="285"/>
      <c r="B413" s="595"/>
      <c r="C413" s="596"/>
      <c r="D413" s="597"/>
      <c r="E413" s="597"/>
      <c r="F413" s="597"/>
      <c r="G413" s="597"/>
      <c r="H413" s="597"/>
      <c r="I413" s="597"/>
      <c r="J413" s="598"/>
      <c r="K413" s="596"/>
      <c r="L413" s="597"/>
      <c r="M413" s="597"/>
      <c r="N413" s="597"/>
      <c r="O413" s="596"/>
      <c r="P413" s="599"/>
      <c r="Q413" s="597"/>
      <c r="R413" s="600"/>
      <c r="S413"/>
      <c r="T413"/>
      <c r="U413"/>
      <c r="V413"/>
    </row>
    <row r="414" spans="1:22">
      <c r="A414" s="285"/>
      <c r="B414" s="264"/>
      <c r="C414" s="281"/>
      <c r="D414" s="282"/>
      <c r="E414" s="282"/>
      <c r="F414" s="282"/>
      <c r="G414" s="282"/>
      <c r="H414" s="282"/>
      <c r="I414" s="282"/>
      <c r="J414" s="283"/>
      <c r="K414" s="281"/>
      <c r="L414" s="282"/>
      <c r="M414" s="282"/>
      <c r="N414" s="282"/>
      <c r="O414" s="281"/>
      <c r="P414" s="281"/>
      <c r="Q414" s="282"/>
      <c r="R414" s="284"/>
      <c r="S414"/>
      <c r="T414"/>
      <c r="U414"/>
      <c r="V414"/>
    </row>
    <row r="415" spans="1:22">
      <c r="A415" s="285"/>
      <c r="B415" s="286"/>
      <c r="C415" s="287"/>
      <c r="D415" s="288"/>
      <c r="E415" s="288"/>
      <c r="F415" s="288"/>
      <c r="G415" s="288"/>
      <c r="H415" s="288"/>
      <c r="I415" s="288"/>
      <c r="J415" s="289"/>
      <c r="K415" s="287"/>
      <c r="L415" s="288"/>
      <c r="M415" s="288"/>
      <c r="N415" s="288"/>
      <c r="O415" s="287"/>
      <c r="P415" s="287"/>
      <c r="Q415" s="288"/>
      <c r="R415" s="290"/>
      <c r="S415"/>
      <c r="T415"/>
      <c r="U415"/>
      <c r="V415"/>
    </row>
    <row r="416" spans="1:22">
      <c r="A416" s="285"/>
      <c r="B416" s="595"/>
      <c r="C416" s="596"/>
      <c r="D416" s="597"/>
      <c r="E416" s="597"/>
      <c r="F416" s="597"/>
      <c r="G416" s="597"/>
      <c r="H416" s="597"/>
      <c r="I416" s="597"/>
      <c r="J416" s="598"/>
      <c r="K416" s="596"/>
      <c r="L416" s="597"/>
      <c r="M416" s="597"/>
      <c r="N416" s="597"/>
      <c r="O416" s="596"/>
      <c r="P416" s="599"/>
      <c r="Q416" s="597"/>
      <c r="R416" s="600"/>
      <c r="S416"/>
      <c r="T416"/>
      <c r="U416"/>
      <c r="V416"/>
    </row>
    <row r="417" spans="1:22">
      <c r="A417" s="285"/>
      <c r="B417" s="264"/>
      <c r="C417" s="281"/>
      <c r="D417" s="282"/>
      <c r="E417" s="282"/>
      <c r="F417" s="282"/>
      <c r="G417" s="282"/>
      <c r="H417" s="282"/>
      <c r="I417" s="282"/>
      <c r="J417" s="283"/>
      <c r="K417" s="281"/>
      <c r="L417" s="282"/>
      <c r="M417" s="282"/>
      <c r="N417" s="282"/>
      <c r="O417" s="281"/>
      <c r="P417" s="281"/>
      <c r="Q417" s="282"/>
      <c r="R417" s="284"/>
      <c r="S417"/>
      <c r="T417"/>
      <c r="U417"/>
      <c r="V417"/>
    </row>
    <row r="418" spans="1:22">
      <c r="A418" s="285"/>
      <c r="B418" s="286"/>
      <c r="C418" s="287"/>
      <c r="D418" s="288"/>
      <c r="E418" s="288"/>
      <c r="F418" s="288"/>
      <c r="G418" s="288"/>
      <c r="H418" s="288"/>
      <c r="I418" s="288"/>
      <c r="J418" s="289"/>
      <c r="K418" s="287"/>
      <c r="L418" s="288"/>
      <c r="M418" s="288"/>
      <c r="N418" s="288"/>
      <c r="O418" s="287"/>
      <c r="P418" s="287"/>
      <c r="Q418" s="288"/>
      <c r="R418" s="290"/>
      <c r="S418"/>
      <c r="T418"/>
      <c r="U418"/>
      <c r="V418"/>
    </row>
    <row r="419" spans="1:22">
      <c r="A419" s="285"/>
      <c r="B419" s="595"/>
      <c r="C419" s="596"/>
      <c r="D419" s="597"/>
      <c r="E419" s="597"/>
      <c r="F419" s="597"/>
      <c r="G419" s="597"/>
      <c r="H419" s="597"/>
      <c r="I419" s="597"/>
      <c r="J419" s="598"/>
      <c r="K419" s="596"/>
      <c r="L419" s="597"/>
      <c r="M419" s="597"/>
      <c r="N419" s="597"/>
      <c r="O419" s="596"/>
      <c r="P419" s="599"/>
      <c r="Q419" s="597"/>
      <c r="R419" s="600"/>
      <c r="S419"/>
      <c r="T419"/>
      <c r="U419"/>
      <c r="V419"/>
    </row>
    <row r="420" spans="1:22">
      <c r="A420" s="285"/>
      <c r="B420" s="264"/>
      <c r="C420" s="281"/>
      <c r="D420" s="282"/>
      <c r="E420" s="282"/>
      <c r="F420" s="282"/>
      <c r="G420" s="282"/>
      <c r="H420" s="282"/>
      <c r="I420" s="282"/>
      <c r="J420" s="283"/>
      <c r="K420" s="281"/>
      <c r="L420" s="282"/>
      <c r="M420" s="282"/>
      <c r="N420" s="282"/>
      <c r="O420" s="281"/>
      <c r="P420" s="281"/>
      <c r="Q420" s="282"/>
      <c r="R420" s="284"/>
      <c r="S420"/>
      <c r="T420"/>
      <c r="U420"/>
      <c r="V420"/>
    </row>
    <row r="421" spans="1:22">
      <c r="A421" s="285"/>
      <c r="B421" s="286"/>
      <c r="C421" s="287"/>
      <c r="D421" s="288"/>
      <c r="E421" s="288"/>
      <c r="F421" s="288"/>
      <c r="G421" s="288"/>
      <c r="H421" s="288"/>
      <c r="I421" s="288"/>
      <c r="J421" s="289"/>
      <c r="K421" s="287"/>
      <c r="L421" s="288"/>
      <c r="M421" s="288"/>
      <c r="N421" s="288"/>
      <c r="O421" s="287"/>
      <c r="P421" s="287"/>
      <c r="Q421" s="288"/>
      <c r="R421" s="290"/>
      <c r="S421"/>
      <c r="T421"/>
      <c r="U421"/>
      <c r="V421"/>
    </row>
    <row r="422" spans="1:22">
      <c r="A422" s="285"/>
      <c r="B422" s="595"/>
      <c r="C422" s="596"/>
      <c r="D422" s="597"/>
      <c r="E422" s="597"/>
      <c r="F422" s="597"/>
      <c r="G422" s="597"/>
      <c r="H422" s="597"/>
      <c r="I422" s="597"/>
      <c r="J422" s="598"/>
      <c r="K422" s="596"/>
      <c r="L422" s="597"/>
      <c r="M422" s="597"/>
      <c r="N422" s="597"/>
      <c r="O422" s="596"/>
      <c r="P422" s="599"/>
      <c r="Q422" s="597"/>
      <c r="R422" s="600"/>
      <c r="S422"/>
      <c r="T422"/>
      <c r="U422"/>
      <c r="V422"/>
    </row>
    <row r="423" spans="1:22">
      <c r="A423" s="285"/>
      <c r="B423" s="264"/>
      <c r="C423" s="281"/>
      <c r="D423" s="282"/>
      <c r="E423" s="282"/>
      <c r="F423" s="282"/>
      <c r="G423" s="282"/>
      <c r="H423" s="282"/>
      <c r="I423" s="282"/>
      <c r="J423" s="283"/>
      <c r="K423" s="281"/>
      <c r="L423" s="282"/>
      <c r="M423" s="282"/>
      <c r="N423" s="282"/>
      <c r="O423" s="281"/>
      <c r="P423" s="281"/>
      <c r="Q423" s="282"/>
      <c r="R423" s="284"/>
      <c r="S423"/>
      <c r="T423"/>
      <c r="U423"/>
      <c r="V423"/>
    </row>
    <row r="424" spans="1:22">
      <c r="A424" s="285"/>
      <c r="B424" s="286"/>
      <c r="C424" s="287"/>
      <c r="D424" s="288"/>
      <c r="E424" s="288"/>
      <c r="F424" s="288"/>
      <c r="G424" s="288"/>
      <c r="H424" s="288"/>
      <c r="I424" s="288"/>
      <c r="J424" s="289"/>
      <c r="K424" s="287"/>
      <c r="L424" s="288"/>
      <c r="M424" s="288"/>
      <c r="N424" s="288"/>
      <c r="O424" s="287"/>
      <c r="P424" s="287"/>
      <c r="Q424" s="288"/>
      <c r="R424" s="290"/>
      <c r="S424"/>
      <c r="T424"/>
      <c r="U424"/>
      <c r="V424"/>
    </row>
    <row r="425" spans="1:22">
      <c r="A425" s="285"/>
      <c r="B425" s="595"/>
      <c r="C425" s="596"/>
      <c r="D425" s="597"/>
      <c r="E425" s="597"/>
      <c r="F425" s="597"/>
      <c r="G425" s="597"/>
      <c r="H425" s="597"/>
      <c r="I425" s="597"/>
      <c r="J425" s="598"/>
      <c r="K425" s="596"/>
      <c r="L425" s="597"/>
      <c r="M425" s="597"/>
      <c r="N425" s="597"/>
      <c r="O425" s="596"/>
      <c r="P425" s="599"/>
      <c r="Q425" s="597"/>
      <c r="R425" s="600"/>
      <c r="S425"/>
      <c r="T425"/>
      <c r="U425"/>
      <c r="V425"/>
    </row>
    <row r="426" spans="1:22">
      <c r="A426" s="285"/>
      <c r="B426" s="264"/>
      <c r="C426" s="281"/>
      <c r="D426" s="282"/>
      <c r="E426" s="282"/>
      <c r="F426" s="282"/>
      <c r="G426" s="282"/>
      <c r="H426" s="282"/>
      <c r="I426" s="282"/>
      <c r="J426" s="283"/>
      <c r="K426" s="281"/>
      <c r="L426" s="282"/>
      <c r="M426" s="282"/>
      <c r="N426" s="282"/>
      <c r="O426" s="281"/>
      <c r="P426" s="281"/>
      <c r="Q426" s="282"/>
      <c r="R426" s="284"/>
      <c r="S426"/>
      <c r="T426"/>
      <c r="U426"/>
      <c r="V426"/>
    </row>
    <row r="427" spans="1:22">
      <c r="A427" s="285"/>
      <c r="B427" s="286"/>
      <c r="C427" s="287"/>
      <c r="D427" s="288"/>
      <c r="E427" s="288"/>
      <c r="F427" s="288"/>
      <c r="G427" s="288"/>
      <c r="H427" s="288"/>
      <c r="I427" s="288"/>
      <c r="J427" s="289"/>
      <c r="K427" s="287"/>
      <c r="L427" s="288"/>
      <c r="M427" s="288"/>
      <c r="N427" s="288"/>
      <c r="O427" s="287"/>
      <c r="P427" s="287"/>
      <c r="Q427" s="288"/>
      <c r="R427" s="290"/>
      <c r="S427"/>
      <c r="T427"/>
      <c r="U427"/>
      <c r="V427"/>
    </row>
    <row r="428" spans="1:22">
      <c r="A428" s="285"/>
      <c r="B428" s="595"/>
      <c r="C428" s="596"/>
      <c r="D428" s="597"/>
      <c r="E428" s="597"/>
      <c r="F428" s="597"/>
      <c r="G428" s="597"/>
      <c r="H428" s="597"/>
      <c r="I428" s="597"/>
      <c r="J428" s="598"/>
      <c r="K428" s="596"/>
      <c r="L428" s="597"/>
      <c r="M428" s="597"/>
      <c r="N428" s="597"/>
      <c r="O428" s="596"/>
      <c r="P428" s="599"/>
      <c r="Q428" s="597"/>
      <c r="R428" s="600"/>
      <c r="S428"/>
      <c r="T428"/>
      <c r="U428"/>
      <c r="V428"/>
    </row>
    <row r="429" spans="1:22">
      <c r="A429" s="285"/>
      <c r="B429" s="264"/>
      <c r="C429" s="281"/>
      <c r="D429" s="282"/>
      <c r="E429" s="282"/>
      <c r="F429" s="282"/>
      <c r="G429" s="282"/>
      <c r="H429" s="282"/>
      <c r="I429" s="282"/>
      <c r="J429" s="283"/>
      <c r="K429" s="281"/>
      <c r="L429" s="282"/>
      <c r="M429" s="282"/>
      <c r="N429" s="282"/>
      <c r="O429" s="281"/>
      <c r="P429" s="281"/>
      <c r="Q429" s="282"/>
      <c r="R429" s="284"/>
      <c r="S429"/>
      <c r="T429"/>
      <c r="U429"/>
      <c r="V429"/>
    </row>
    <row r="430" spans="1:22">
      <c r="A430" s="285"/>
      <c r="B430" s="286"/>
      <c r="C430" s="287"/>
      <c r="D430" s="288"/>
      <c r="E430" s="288"/>
      <c r="F430" s="288"/>
      <c r="G430" s="288"/>
      <c r="H430" s="288"/>
      <c r="I430" s="288"/>
      <c r="J430" s="289"/>
      <c r="K430" s="287"/>
      <c r="L430" s="288"/>
      <c r="M430" s="288"/>
      <c r="N430" s="288"/>
      <c r="O430" s="287"/>
      <c r="P430" s="287"/>
      <c r="Q430" s="288"/>
      <c r="R430" s="290"/>
      <c r="S430"/>
      <c r="T430"/>
      <c r="U430"/>
      <c r="V430"/>
    </row>
    <row r="431" spans="1:22">
      <c r="A431" s="285"/>
      <c r="B431" s="595"/>
      <c r="C431" s="596"/>
      <c r="D431" s="597"/>
      <c r="E431" s="597"/>
      <c r="F431" s="597"/>
      <c r="G431" s="597"/>
      <c r="H431" s="597"/>
      <c r="I431" s="597"/>
      <c r="J431" s="598"/>
      <c r="K431" s="596"/>
      <c r="L431" s="597"/>
      <c r="M431" s="597"/>
      <c r="N431" s="597"/>
      <c r="O431" s="596"/>
      <c r="P431" s="599"/>
      <c r="Q431" s="597"/>
      <c r="R431" s="600"/>
      <c r="S431"/>
      <c r="T431"/>
      <c r="U431"/>
      <c r="V431"/>
    </row>
    <row r="432" spans="1:22">
      <c r="A432" s="285"/>
      <c r="B432" s="264"/>
      <c r="C432" s="281"/>
      <c r="D432" s="282"/>
      <c r="E432" s="282"/>
      <c r="F432" s="282"/>
      <c r="G432" s="282"/>
      <c r="H432" s="282"/>
      <c r="I432" s="282"/>
      <c r="J432" s="283"/>
      <c r="K432" s="281"/>
      <c r="L432" s="282"/>
      <c r="M432" s="282"/>
      <c r="N432" s="282"/>
      <c r="O432" s="281"/>
      <c r="P432" s="281"/>
      <c r="Q432" s="282"/>
      <c r="R432" s="284"/>
      <c r="S432"/>
      <c r="T432"/>
      <c r="U432"/>
      <c r="V432"/>
    </row>
    <row r="433" spans="1:22">
      <c r="A433" s="285"/>
      <c r="B433" s="286"/>
      <c r="C433" s="287"/>
      <c r="D433" s="288"/>
      <c r="E433" s="288"/>
      <c r="F433" s="288"/>
      <c r="G433" s="288"/>
      <c r="H433" s="288"/>
      <c r="I433" s="288"/>
      <c r="J433" s="289"/>
      <c r="K433" s="287"/>
      <c r="L433" s="288"/>
      <c r="M433" s="288"/>
      <c r="N433" s="288"/>
      <c r="O433" s="287"/>
      <c r="P433" s="287"/>
      <c r="Q433" s="288"/>
      <c r="R433" s="290"/>
      <c r="S433"/>
      <c r="T433"/>
      <c r="U433"/>
      <c r="V433"/>
    </row>
    <row r="434" spans="1:22">
      <c r="A434" s="285"/>
      <c r="B434" s="595"/>
      <c r="C434" s="596"/>
      <c r="D434" s="597"/>
      <c r="E434" s="597"/>
      <c r="F434" s="597"/>
      <c r="G434" s="597"/>
      <c r="H434" s="597"/>
      <c r="I434" s="597"/>
      <c r="J434" s="598"/>
      <c r="K434" s="596"/>
      <c r="L434" s="597"/>
      <c r="M434" s="597"/>
      <c r="N434" s="597"/>
      <c r="O434" s="596"/>
      <c r="P434" s="599"/>
      <c r="Q434" s="597"/>
      <c r="R434" s="600"/>
      <c r="S434"/>
      <c r="T434"/>
      <c r="U434"/>
      <c r="V434"/>
    </row>
    <row r="435" spans="1:22">
      <c r="A435" s="285"/>
      <c r="B435" s="264"/>
      <c r="C435" s="281"/>
      <c r="D435" s="282"/>
      <c r="E435" s="282"/>
      <c r="F435" s="282"/>
      <c r="G435" s="282"/>
      <c r="H435" s="282"/>
      <c r="I435" s="282"/>
      <c r="J435" s="283"/>
      <c r="K435" s="281"/>
      <c r="L435" s="282"/>
      <c r="M435" s="282"/>
      <c r="N435" s="282"/>
      <c r="O435" s="281"/>
      <c r="P435" s="281"/>
      <c r="Q435" s="282"/>
      <c r="R435" s="284"/>
      <c r="S435"/>
      <c r="T435"/>
      <c r="U435"/>
      <c r="V435"/>
    </row>
    <row r="436" spans="1:22">
      <c r="A436" s="285"/>
      <c r="B436" s="286"/>
      <c r="C436" s="287"/>
      <c r="D436" s="288"/>
      <c r="E436" s="288"/>
      <c r="F436" s="288"/>
      <c r="G436" s="288"/>
      <c r="H436" s="288"/>
      <c r="I436" s="288"/>
      <c r="J436" s="289"/>
      <c r="K436" s="287"/>
      <c r="L436" s="288"/>
      <c r="M436" s="288"/>
      <c r="N436" s="288"/>
      <c r="O436" s="287"/>
      <c r="P436" s="287"/>
      <c r="Q436" s="288"/>
      <c r="R436" s="290"/>
      <c r="S436"/>
      <c r="T436"/>
      <c r="U436"/>
      <c r="V436"/>
    </row>
    <row r="437" spans="1:22">
      <c r="A437" s="292"/>
      <c r="B437" s="595"/>
      <c r="C437" s="596"/>
      <c r="D437" s="597"/>
      <c r="E437" s="597"/>
      <c r="F437" s="597"/>
      <c r="G437" s="597"/>
      <c r="H437" s="597"/>
      <c r="I437" s="597"/>
      <c r="J437" s="598"/>
      <c r="K437" s="596"/>
      <c r="L437" s="597"/>
      <c r="M437" s="597"/>
      <c r="N437" s="597"/>
      <c r="O437" s="596"/>
      <c r="P437" s="599"/>
      <c r="Q437" s="597"/>
      <c r="R437" s="600"/>
      <c r="S437"/>
      <c r="T437"/>
      <c r="U437"/>
      <c r="V437"/>
    </row>
    <row r="438" spans="1:22">
      <c r="A438" s="280"/>
      <c r="B438" s="264"/>
      <c r="C438" s="281"/>
      <c r="D438" s="282"/>
      <c r="E438" s="282"/>
      <c r="F438" s="282"/>
      <c r="G438" s="282"/>
      <c r="H438" s="282"/>
      <c r="I438" s="282"/>
      <c r="J438" s="283"/>
      <c r="K438" s="281"/>
      <c r="L438" s="282"/>
      <c r="M438" s="282"/>
      <c r="N438" s="282"/>
      <c r="O438" s="281"/>
      <c r="P438" s="281"/>
      <c r="Q438" s="282"/>
      <c r="R438" s="284"/>
      <c r="S438"/>
      <c r="T438"/>
      <c r="U438"/>
      <c r="V438"/>
    </row>
    <row r="439" spans="1:22">
      <c r="A439" s="285"/>
      <c r="B439" s="286"/>
      <c r="C439" s="287"/>
      <c r="D439" s="288"/>
      <c r="E439" s="288"/>
      <c r="F439" s="288"/>
      <c r="G439" s="288"/>
      <c r="H439" s="288"/>
      <c r="I439" s="288"/>
      <c r="J439" s="289"/>
      <c r="K439" s="287"/>
      <c r="L439" s="288"/>
      <c r="M439" s="288"/>
      <c r="N439" s="288"/>
      <c r="O439" s="287"/>
      <c r="P439" s="287"/>
      <c r="Q439" s="288"/>
      <c r="R439" s="290"/>
      <c r="S439"/>
      <c r="T439"/>
      <c r="U439"/>
      <c r="V439"/>
    </row>
    <row r="440" spans="1:22">
      <c r="A440" s="285"/>
      <c r="B440" s="595"/>
      <c r="C440" s="596"/>
      <c r="D440" s="597"/>
      <c r="E440" s="597"/>
      <c r="F440" s="597"/>
      <c r="G440" s="597"/>
      <c r="H440" s="597"/>
      <c r="I440" s="597"/>
      <c r="J440" s="598"/>
      <c r="K440" s="596"/>
      <c r="L440" s="597"/>
      <c r="M440" s="597"/>
      <c r="N440" s="597"/>
      <c r="O440" s="596"/>
      <c r="P440" s="599"/>
      <c r="Q440" s="597"/>
      <c r="R440" s="600"/>
      <c r="S440"/>
      <c r="T440"/>
      <c r="U440"/>
      <c r="V440"/>
    </row>
    <row r="441" spans="1:22">
      <c r="A441" s="285"/>
      <c r="B441" s="264"/>
      <c r="C441" s="281"/>
      <c r="D441" s="282"/>
      <c r="E441" s="282"/>
      <c r="F441" s="282"/>
      <c r="G441" s="282"/>
      <c r="H441" s="282"/>
      <c r="I441" s="282"/>
      <c r="J441" s="283"/>
      <c r="K441" s="281"/>
      <c r="L441" s="282"/>
      <c r="M441" s="282"/>
      <c r="N441" s="282"/>
      <c r="O441" s="281"/>
      <c r="P441" s="281"/>
      <c r="Q441" s="282"/>
      <c r="R441" s="284"/>
      <c r="S441"/>
      <c r="T441"/>
      <c r="U441"/>
      <c r="V441"/>
    </row>
    <row r="442" spans="1:22">
      <c r="A442" s="285"/>
      <c r="B442" s="286"/>
      <c r="C442" s="287"/>
      <c r="D442" s="288"/>
      <c r="E442" s="288"/>
      <c r="F442" s="288"/>
      <c r="G442" s="288"/>
      <c r="H442" s="288"/>
      <c r="I442" s="288"/>
      <c r="J442" s="289"/>
      <c r="K442" s="287"/>
      <c r="L442" s="288"/>
      <c r="M442" s="288"/>
      <c r="N442" s="288"/>
      <c r="O442" s="287"/>
      <c r="P442" s="287"/>
      <c r="Q442" s="288"/>
      <c r="R442" s="290"/>
      <c r="S442"/>
      <c r="T442"/>
      <c r="U442"/>
      <c r="V442"/>
    </row>
    <row r="443" spans="1:22">
      <c r="A443" s="285"/>
      <c r="B443" s="595"/>
      <c r="C443" s="596"/>
      <c r="D443" s="597"/>
      <c r="E443" s="597"/>
      <c r="F443" s="597"/>
      <c r="G443" s="597"/>
      <c r="H443" s="597"/>
      <c r="I443" s="597"/>
      <c r="J443" s="598"/>
      <c r="K443" s="596"/>
      <c r="L443" s="597"/>
      <c r="M443" s="597"/>
      <c r="N443" s="597"/>
      <c r="O443" s="596"/>
      <c r="P443" s="599"/>
      <c r="Q443" s="597"/>
      <c r="R443" s="600"/>
      <c r="S443"/>
      <c r="T443"/>
      <c r="U443"/>
      <c r="V443"/>
    </row>
    <row r="444" spans="1:22">
      <c r="A444" s="285"/>
      <c r="B444" s="264"/>
      <c r="C444" s="281"/>
      <c r="D444" s="282"/>
      <c r="E444" s="282"/>
      <c r="F444" s="282"/>
      <c r="G444" s="282"/>
      <c r="H444" s="282"/>
      <c r="I444" s="282"/>
      <c r="J444" s="283"/>
      <c r="K444" s="281"/>
      <c r="L444" s="282"/>
      <c r="M444" s="282"/>
      <c r="N444" s="282"/>
      <c r="O444" s="281"/>
      <c r="P444" s="281"/>
      <c r="Q444" s="282"/>
      <c r="R444" s="284"/>
      <c r="S444"/>
      <c r="T444"/>
      <c r="U444"/>
      <c r="V444"/>
    </row>
    <row r="445" spans="1:22">
      <c r="A445" s="285"/>
      <c r="B445" s="286"/>
      <c r="C445" s="287"/>
      <c r="D445" s="288"/>
      <c r="E445" s="288"/>
      <c r="F445" s="288"/>
      <c r="G445" s="288"/>
      <c r="H445" s="288"/>
      <c r="I445" s="288"/>
      <c r="J445" s="289"/>
      <c r="K445" s="287"/>
      <c r="L445" s="288"/>
      <c r="M445" s="288"/>
      <c r="N445" s="288"/>
      <c r="O445" s="287"/>
      <c r="P445" s="287"/>
      <c r="Q445" s="288"/>
      <c r="R445" s="290"/>
      <c r="S445"/>
      <c r="T445"/>
      <c r="U445"/>
      <c r="V445"/>
    </row>
    <row r="446" spans="1:22">
      <c r="A446" s="285"/>
      <c r="B446" s="595"/>
      <c r="C446" s="596"/>
      <c r="D446" s="597"/>
      <c r="E446" s="597"/>
      <c r="F446" s="597"/>
      <c r="G446" s="597"/>
      <c r="H446" s="597"/>
      <c r="I446" s="597"/>
      <c r="J446" s="598"/>
      <c r="K446" s="596"/>
      <c r="L446" s="597"/>
      <c r="M446" s="597"/>
      <c r="N446" s="597"/>
      <c r="O446" s="596"/>
      <c r="P446" s="599"/>
      <c r="Q446" s="597"/>
      <c r="R446" s="600"/>
      <c r="S446"/>
      <c r="T446"/>
      <c r="U446"/>
      <c r="V446"/>
    </row>
    <row r="447" spans="1:22">
      <c r="A447" s="285"/>
      <c r="B447" s="264"/>
      <c r="C447" s="281"/>
      <c r="D447" s="282"/>
      <c r="E447" s="282"/>
      <c r="F447" s="282"/>
      <c r="G447" s="282"/>
      <c r="H447" s="282"/>
      <c r="I447" s="282"/>
      <c r="J447" s="283"/>
      <c r="K447" s="281"/>
      <c r="L447" s="282"/>
      <c r="M447" s="282"/>
      <c r="N447" s="282"/>
      <c r="O447" s="281"/>
      <c r="P447" s="281"/>
      <c r="Q447" s="282"/>
      <c r="R447" s="284"/>
      <c r="S447"/>
      <c r="T447"/>
      <c r="U447"/>
      <c r="V447"/>
    </row>
    <row r="448" spans="1:22">
      <c r="A448" s="285"/>
      <c r="B448" s="286"/>
      <c r="C448" s="287"/>
      <c r="D448" s="288"/>
      <c r="E448" s="288"/>
      <c r="F448" s="288"/>
      <c r="G448" s="288"/>
      <c r="H448" s="288"/>
      <c r="I448" s="288"/>
      <c r="J448" s="289"/>
      <c r="K448" s="287"/>
      <c r="L448" s="288"/>
      <c r="M448" s="288"/>
      <c r="N448" s="288"/>
      <c r="O448" s="287"/>
      <c r="P448" s="287"/>
      <c r="Q448" s="288"/>
      <c r="R448" s="290"/>
      <c r="S448"/>
      <c r="T448"/>
      <c r="U448"/>
      <c r="V448"/>
    </row>
    <row r="449" spans="1:22">
      <c r="A449" s="285"/>
      <c r="B449" s="595"/>
      <c r="C449" s="596"/>
      <c r="D449" s="597"/>
      <c r="E449" s="597"/>
      <c r="F449" s="597"/>
      <c r="G449" s="597"/>
      <c r="H449" s="597"/>
      <c r="I449" s="597"/>
      <c r="J449" s="598"/>
      <c r="K449" s="596"/>
      <c r="L449" s="597"/>
      <c r="M449" s="597"/>
      <c r="N449" s="597"/>
      <c r="O449" s="596"/>
      <c r="P449" s="599"/>
      <c r="Q449" s="597"/>
      <c r="R449" s="600"/>
      <c r="S449"/>
      <c r="T449"/>
      <c r="U449"/>
      <c r="V449"/>
    </row>
    <row r="450" spans="1:22">
      <c r="A450" s="285"/>
      <c r="B450" s="264"/>
      <c r="C450" s="281"/>
      <c r="D450" s="282"/>
      <c r="E450" s="282"/>
      <c r="F450" s="282"/>
      <c r="G450" s="282"/>
      <c r="H450" s="282"/>
      <c r="I450" s="282"/>
      <c r="J450" s="283"/>
      <c r="K450" s="281"/>
      <c r="L450" s="282"/>
      <c r="M450" s="282"/>
      <c r="N450" s="282"/>
      <c r="O450" s="281"/>
      <c r="P450" s="281"/>
      <c r="Q450" s="282"/>
      <c r="R450" s="284"/>
      <c r="S450"/>
      <c r="T450"/>
      <c r="U450"/>
      <c r="V450"/>
    </row>
    <row r="451" spans="1:22">
      <c r="A451" s="285"/>
      <c r="B451" s="286"/>
      <c r="C451" s="287"/>
      <c r="D451" s="288"/>
      <c r="E451" s="288"/>
      <c r="F451" s="288"/>
      <c r="G451" s="288"/>
      <c r="H451" s="288"/>
      <c r="I451" s="288"/>
      <c r="J451" s="289"/>
      <c r="K451" s="287"/>
      <c r="L451" s="288"/>
      <c r="M451" s="288"/>
      <c r="N451" s="288"/>
      <c r="O451" s="287"/>
      <c r="P451" s="287"/>
      <c r="Q451" s="288"/>
      <c r="R451" s="290"/>
      <c r="S451"/>
      <c r="T451"/>
      <c r="U451"/>
      <c r="V451"/>
    </row>
    <row r="452" spans="1:22">
      <c r="A452" s="285"/>
      <c r="B452" s="595"/>
      <c r="C452" s="596"/>
      <c r="D452" s="597"/>
      <c r="E452" s="597"/>
      <c r="F452" s="597"/>
      <c r="G452" s="597"/>
      <c r="H452" s="597"/>
      <c r="I452" s="597"/>
      <c r="J452" s="598"/>
      <c r="K452" s="596"/>
      <c r="L452" s="597"/>
      <c r="M452" s="597"/>
      <c r="N452" s="597"/>
      <c r="O452" s="596"/>
      <c r="P452" s="599"/>
      <c r="Q452" s="597"/>
      <c r="R452" s="600"/>
      <c r="S452"/>
      <c r="T452"/>
      <c r="U452"/>
      <c r="V452"/>
    </row>
    <row r="453" spans="1:22">
      <c r="A453" s="285"/>
      <c r="B453" s="264"/>
      <c r="C453" s="281"/>
      <c r="D453" s="282"/>
      <c r="E453" s="282"/>
      <c r="F453" s="282"/>
      <c r="G453" s="282"/>
      <c r="H453" s="282"/>
      <c r="I453" s="282"/>
      <c r="J453" s="283"/>
      <c r="K453" s="281"/>
      <c r="L453" s="282"/>
      <c r="M453" s="282"/>
      <c r="N453" s="282"/>
      <c r="O453" s="281"/>
      <c r="P453" s="281"/>
      <c r="Q453" s="282"/>
      <c r="R453" s="284"/>
      <c r="S453"/>
      <c r="T453"/>
      <c r="U453"/>
      <c r="V453"/>
    </row>
    <row r="454" spans="1:22">
      <c r="A454" s="285"/>
      <c r="B454" s="286"/>
      <c r="C454" s="287"/>
      <c r="D454" s="288"/>
      <c r="E454" s="288"/>
      <c r="F454" s="288"/>
      <c r="G454" s="288"/>
      <c r="H454" s="288"/>
      <c r="I454" s="288"/>
      <c r="J454" s="289"/>
      <c r="K454" s="287"/>
      <c r="L454" s="288"/>
      <c r="M454" s="288"/>
      <c r="N454" s="288"/>
      <c r="O454" s="287"/>
      <c r="P454" s="287"/>
      <c r="Q454" s="288"/>
      <c r="R454" s="290"/>
      <c r="S454"/>
      <c r="T454"/>
      <c r="U454"/>
      <c r="V454"/>
    </row>
    <row r="455" spans="1:22">
      <c r="A455" s="285"/>
      <c r="B455" s="595"/>
      <c r="C455" s="596"/>
      <c r="D455" s="597"/>
      <c r="E455" s="597"/>
      <c r="F455" s="597"/>
      <c r="G455" s="597"/>
      <c r="H455" s="597"/>
      <c r="I455" s="597"/>
      <c r="J455" s="598"/>
      <c r="K455" s="596"/>
      <c r="L455" s="597"/>
      <c r="M455" s="597"/>
      <c r="N455" s="597"/>
      <c r="O455" s="596"/>
      <c r="P455" s="599"/>
      <c r="Q455" s="597"/>
      <c r="R455" s="600"/>
      <c r="S455"/>
      <c r="T455"/>
      <c r="U455"/>
      <c r="V455"/>
    </row>
    <row r="456" spans="1:22">
      <c r="A456" s="285"/>
      <c r="B456" s="264"/>
      <c r="C456" s="281"/>
      <c r="D456" s="282"/>
      <c r="E456" s="282"/>
      <c r="F456" s="282"/>
      <c r="G456" s="282"/>
      <c r="H456" s="282"/>
      <c r="I456" s="282"/>
      <c r="J456" s="283"/>
      <c r="K456" s="281"/>
      <c r="L456" s="282"/>
      <c r="M456" s="282"/>
      <c r="N456" s="282"/>
      <c r="O456" s="281"/>
      <c r="P456" s="281"/>
      <c r="Q456" s="282"/>
      <c r="R456" s="284"/>
      <c r="S456"/>
      <c r="T456"/>
      <c r="U456"/>
      <c r="V456"/>
    </row>
    <row r="457" spans="1:22">
      <c r="A457" s="285"/>
      <c r="B457" s="286"/>
      <c r="C457" s="287"/>
      <c r="D457" s="288"/>
      <c r="E457" s="288"/>
      <c r="F457" s="288"/>
      <c r="G457" s="288"/>
      <c r="H457" s="288"/>
      <c r="I457" s="288"/>
      <c r="J457" s="289"/>
      <c r="K457" s="287"/>
      <c r="L457" s="288"/>
      <c r="M457" s="288"/>
      <c r="N457" s="288"/>
      <c r="O457" s="287"/>
      <c r="P457" s="287"/>
      <c r="Q457" s="288"/>
      <c r="R457" s="290"/>
      <c r="S457"/>
      <c r="T457"/>
      <c r="U457"/>
      <c r="V457"/>
    </row>
    <row r="458" spans="1:22">
      <c r="A458" s="285"/>
      <c r="B458" s="595"/>
      <c r="C458" s="596"/>
      <c r="D458" s="597"/>
      <c r="E458" s="597"/>
      <c r="F458" s="597"/>
      <c r="G458" s="597"/>
      <c r="H458" s="597"/>
      <c r="I458" s="597"/>
      <c r="J458" s="598"/>
      <c r="K458" s="596"/>
      <c r="L458" s="597"/>
      <c r="M458" s="597"/>
      <c r="N458" s="597"/>
      <c r="O458" s="596"/>
      <c r="P458" s="599"/>
      <c r="Q458" s="597"/>
      <c r="R458" s="600"/>
      <c r="S458"/>
      <c r="T458"/>
      <c r="U458"/>
      <c r="V458"/>
    </row>
    <row r="459" spans="1:22">
      <c r="A459" s="285"/>
      <c r="B459" s="264"/>
      <c r="C459" s="281"/>
      <c r="D459" s="282"/>
      <c r="E459" s="282"/>
      <c r="F459" s="282"/>
      <c r="G459" s="282"/>
      <c r="H459" s="282"/>
      <c r="I459" s="282"/>
      <c r="J459" s="283"/>
      <c r="K459" s="281"/>
      <c r="L459" s="282"/>
      <c r="M459" s="282"/>
      <c r="N459" s="282"/>
      <c r="O459" s="281"/>
      <c r="P459" s="281"/>
      <c r="Q459" s="282"/>
      <c r="R459" s="284"/>
      <c r="S459"/>
      <c r="T459"/>
      <c r="U459"/>
      <c r="V459"/>
    </row>
    <row r="460" spans="1:22">
      <c r="A460" s="285"/>
      <c r="B460" s="286"/>
      <c r="C460" s="287"/>
      <c r="D460" s="288"/>
      <c r="E460" s="288"/>
      <c r="F460" s="288"/>
      <c r="G460" s="288"/>
      <c r="H460" s="288"/>
      <c r="I460" s="288"/>
      <c r="J460" s="289"/>
      <c r="K460" s="287"/>
      <c r="L460" s="288"/>
      <c r="M460" s="288"/>
      <c r="N460" s="288"/>
      <c r="O460" s="287"/>
      <c r="P460" s="287"/>
      <c r="Q460" s="288"/>
      <c r="R460" s="290"/>
      <c r="S460"/>
      <c r="T460"/>
      <c r="U460"/>
      <c r="V460"/>
    </row>
    <row r="461" spans="1:22">
      <c r="A461" s="285"/>
      <c r="B461" s="595"/>
      <c r="C461" s="596"/>
      <c r="D461" s="597"/>
      <c r="E461" s="597"/>
      <c r="F461" s="597"/>
      <c r="G461" s="597"/>
      <c r="H461" s="597"/>
      <c r="I461" s="597"/>
      <c r="J461" s="598"/>
      <c r="K461" s="596"/>
      <c r="L461" s="597"/>
      <c r="M461" s="597"/>
      <c r="N461" s="597"/>
      <c r="O461" s="596"/>
      <c r="P461" s="599"/>
      <c r="Q461" s="597"/>
      <c r="R461" s="600"/>
      <c r="S461"/>
      <c r="T461"/>
      <c r="U461"/>
      <c r="V461"/>
    </row>
    <row r="462" spans="1:22">
      <c r="A462" s="285"/>
      <c r="B462" s="264"/>
      <c r="C462" s="281"/>
      <c r="D462" s="282"/>
      <c r="E462" s="282"/>
      <c r="F462" s="282"/>
      <c r="G462" s="282"/>
      <c r="H462" s="282"/>
      <c r="I462" s="282"/>
      <c r="J462" s="283"/>
      <c r="K462" s="281"/>
      <c r="L462" s="282"/>
      <c r="M462" s="282"/>
      <c r="N462" s="282"/>
      <c r="O462" s="281"/>
      <c r="P462" s="281"/>
      <c r="Q462" s="282"/>
      <c r="R462" s="284"/>
      <c r="S462"/>
      <c r="T462"/>
      <c r="U462"/>
      <c r="V462"/>
    </row>
    <row r="463" spans="1:22">
      <c r="A463" s="285"/>
      <c r="B463" s="286"/>
      <c r="C463" s="287"/>
      <c r="D463" s="288"/>
      <c r="E463" s="288"/>
      <c r="F463" s="288"/>
      <c r="G463" s="288"/>
      <c r="H463" s="288"/>
      <c r="I463" s="288"/>
      <c r="J463" s="289"/>
      <c r="K463" s="287"/>
      <c r="L463" s="288"/>
      <c r="M463" s="288"/>
      <c r="N463" s="288"/>
      <c r="O463" s="287"/>
      <c r="P463" s="287"/>
      <c r="Q463" s="288"/>
      <c r="R463" s="290"/>
      <c r="S463"/>
      <c r="T463"/>
      <c r="U463"/>
      <c r="V463"/>
    </row>
    <row r="464" spans="1:22">
      <c r="A464" s="285"/>
      <c r="B464" s="595"/>
      <c r="C464" s="596"/>
      <c r="D464" s="597"/>
      <c r="E464" s="597"/>
      <c r="F464" s="597"/>
      <c r="G464" s="597"/>
      <c r="H464" s="597"/>
      <c r="I464" s="597"/>
      <c r="J464" s="598"/>
      <c r="K464" s="596"/>
      <c r="L464" s="597"/>
      <c r="M464" s="597"/>
      <c r="N464" s="597"/>
      <c r="O464" s="596"/>
      <c r="P464" s="599"/>
      <c r="Q464" s="597"/>
      <c r="R464" s="600"/>
      <c r="S464"/>
      <c r="T464"/>
      <c r="U464"/>
      <c r="V464"/>
    </row>
    <row r="465" spans="1:22">
      <c r="A465" s="285"/>
      <c r="B465" s="264"/>
      <c r="C465" s="281"/>
      <c r="D465" s="282"/>
      <c r="E465" s="282"/>
      <c r="F465" s="282"/>
      <c r="G465" s="282"/>
      <c r="H465" s="282"/>
      <c r="I465" s="282"/>
      <c r="J465" s="283"/>
      <c r="K465" s="281"/>
      <c r="L465" s="282"/>
      <c r="M465" s="282"/>
      <c r="N465" s="282"/>
      <c r="O465" s="281"/>
      <c r="P465" s="281"/>
      <c r="Q465" s="282"/>
      <c r="R465" s="284"/>
      <c r="S465"/>
      <c r="T465"/>
      <c r="U465"/>
      <c r="V465"/>
    </row>
    <row r="466" spans="1:22">
      <c r="A466" s="285"/>
      <c r="B466" s="286"/>
      <c r="C466" s="287"/>
      <c r="D466" s="288"/>
      <c r="E466" s="288"/>
      <c r="F466" s="288"/>
      <c r="G466" s="288"/>
      <c r="H466" s="288"/>
      <c r="I466" s="288"/>
      <c r="J466" s="289"/>
      <c r="K466" s="287"/>
      <c r="L466" s="288"/>
      <c r="M466" s="288"/>
      <c r="N466" s="288"/>
      <c r="O466" s="287"/>
      <c r="P466" s="287"/>
      <c r="Q466" s="288"/>
      <c r="R466" s="290"/>
      <c r="S466"/>
      <c r="T466"/>
      <c r="U466"/>
      <c r="V466"/>
    </row>
    <row r="467" spans="1:22">
      <c r="A467" s="285"/>
      <c r="B467" s="595"/>
      <c r="C467" s="596"/>
      <c r="D467" s="597"/>
      <c r="E467" s="597"/>
      <c r="F467" s="597"/>
      <c r="G467" s="597"/>
      <c r="H467" s="597"/>
      <c r="I467" s="597"/>
      <c r="J467" s="598"/>
      <c r="K467" s="596"/>
      <c r="L467" s="597"/>
      <c r="M467" s="597"/>
      <c r="N467" s="597"/>
      <c r="O467" s="596"/>
      <c r="P467" s="599"/>
      <c r="Q467" s="597"/>
      <c r="R467" s="600"/>
      <c r="S467"/>
      <c r="T467"/>
      <c r="U467"/>
      <c r="V467"/>
    </row>
    <row r="468" spans="1:22">
      <c r="A468" s="285"/>
      <c r="B468" s="264"/>
      <c r="C468" s="281"/>
      <c r="D468" s="282"/>
      <c r="E468" s="282"/>
      <c r="F468" s="282"/>
      <c r="G468" s="282"/>
      <c r="H468" s="282"/>
      <c r="I468" s="282"/>
      <c r="J468" s="283"/>
      <c r="K468" s="281"/>
      <c r="L468" s="282"/>
      <c r="M468" s="282"/>
      <c r="N468" s="282"/>
      <c r="O468" s="281"/>
      <c r="P468" s="281"/>
      <c r="Q468" s="282"/>
      <c r="R468" s="284"/>
      <c r="S468"/>
      <c r="T468"/>
      <c r="U468"/>
      <c r="V468"/>
    </row>
    <row r="469" spans="1:22">
      <c r="A469" s="285"/>
      <c r="B469" s="286"/>
      <c r="C469" s="287"/>
      <c r="D469" s="288"/>
      <c r="E469" s="288"/>
      <c r="F469" s="288"/>
      <c r="G469" s="288"/>
      <c r="H469" s="288"/>
      <c r="I469" s="288"/>
      <c r="J469" s="289"/>
      <c r="K469" s="287"/>
      <c r="L469" s="288"/>
      <c r="M469" s="288"/>
      <c r="N469" s="288"/>
      <c r="O469" s="287"/>
      <c r="P469" s="287"/>
      <c r="Q469" s="288"/>
      <c r="R469" s="290"/>
      <c r="S469"/>
      <c r="T469"/>
      <c r="U469"/>
      <c r="V469"/>
    </row>
    <row r="470" spans="1:22">
      <c r="A470" s="285"/>
      <c r="B470" s="595"/>
      <c r="C470" s="596"/>
      <c r="D470" s="597"/>
      <c r="E470" s="597"/>
      <c r="F470" s="597"/>
      <c r="G470" s="597"/>
      <c r="H470" s="597"/>
      <c r="I470" s="597"/>
      <c r="J470" s="598"/>
      <c r="K470" s="596"/>
      <c r="L470" s="597"/>
      <c r="M470" s="597"/>
      <c r="N470" s="597"/>
      <c r="O470" s="596"/>
      <c r="P470" s="599"/>
      <c r="Q470" s="597"/>
      <c r="R470" s="600"/>
      <c r="S470"/>
      <c r="T470"/>
      <c r="U470"/>
      <c r="V470"/>
    </row>
    <row r="471" spans="1:22">
      <c r="A471" s="285"/>
      <c r="B471" s="264"/>
      <c r="C471" s="281"/>
      <c r="D471" s="282"/>
      <c r="E471" s="282"/>
      <c r="F471" s="282"/>
      <c r="G471" s="282"/>
      <c r="H471" s="282"/>
      <c r="I471" s="282"/>
      <c r="J471" s="283"/>
      <c r="K471" s="281"/>
      <c r="L471" s="282"/>
      <c r="M471" s="282"/>
      <c r="N471" s="282"/>
      <c r="O471" s="281"/>
      <c r="P471" s="281"/>
      <c r="Q471" s="282"/>
      <c r="R471" s="284"/>
      <c r="S471"/>
      <c r="T471"/>
      <c r="U471"/>
      <c r="V471"/>
    </row>
    <row r="472" spans="1:22">
      <c r="A472" s="285"/>
      <c r="B472" s="286"/>
      <c r="C472" s="287"/>
      <c r="D472" s="288"/>
      <c r="E472" s="288"/>
      <c r="F472" s="288"/>
      <c r="G472" s="288"/>
      <c r="H472" s="288"/>
      <c r="I472" s="288"/>
      <c r="J472" s="289"/>
      <c r="K472" s="287"/>
      <c r="L472" s="288"/>
      <c r="M472" s="288"/>
      <c r="N472" s="288"/>
      <c r="O472" s="287"/>
      <c r="P472" s="287"/>
      <c r="Q472" s="288"/>
      <c r="R472" s="290"/>
      <c r="S472"/>
      <c r="T472"/>
      <c r="U472"/>
      <c r="V472"/>
    </row>
    <row r="473" spans="1:22">
      <c r="A473" s="292"/>
      <c r="B473" s="595"/>
      <c r="C473" s="596"/>
      <c r="D473" s="597"/>
      <c r="E473" s="597"/>
      <c r="F473" s="597"/>
      <c r="G473" s="597"/>
      <c r="H473" s="597"/>
      <c r="I473" s="597"/>
      <c r="J473" s="598"/>
      <c r="K473" s="596"/>
      <c r="L473" s="597"/>
      <c r="M473" s="597"/>
      <c r="N473" s="597"/>
      <c r="O473" s="596"/>
      <c r="P473" s="599"/>
      <c r="Q473" s="597"/>
      <c r="R473" s="600"/>
      <c r="S473"/>
      <c r="T473"/>
      <c r="U473"/>
      <c r="V473"/>
    </row>
    <row r="474" spans="1:22">
      <c r="A474" s="280"/>
      <c r="B474" s="264"/>
      <c r="C474" s="281"/>
      <c r="D474" s="282"/>
      <c r="E474" s="282"/>
      <c r="F474" s="282"/>
      <c r="G474" s="282"/>
      <c r="H474" s="282"/>
      <c r="I474" s="282"/>
      <c r="J474" s="283"/>
      <c r="K474" s="281"/>
      <c r="L474" s="282"/>
      <c r="M474" s="282"/>
      <c r="N474" s="282"/>
      <c r="O474" s="281"/>
      <c r="P474" s="281"/>
      <c r="Q474" s="282"/>
      <c r="R474" s="284"/>
      <c r="S474"/>
      <c r="T474"/>
      <c r="U474"/>
      <c r="V474"/>
    </row>
    <row r="475" spans="1:22">
      <c r="A475" s="285"/>
      <c r="B475" s="286"/>
      <c r="C475" s="287"/>
      <c r="D475" s="288"/>
      <c r="E475" s="288"/>
      <c r="F475" s="288"/>
      <c r="G475" s="288"/>
      <c r="H475" s="288"/>
      <c r="I475" s="288"/>
      <c r="J475" s="289"/>
      <c r="K475" s="287"/>
      <c r="L475" s="288"/>
      <c r="M475" s="288"/>
      <c r="N475" s="288"/>
      <c r="O475" s="287"/>
      <c r="P475" s="287"/>
      <c r="Q475" s="288"/>
      <c r="R475" s="290"/>
      <c r="S475"/>
      <c r="T475"/>
      <c r="U475"/>
      <c r="V475"/>
    </row>
    <row r="476" spans="1:22">
      <c r="A476" s="285"/>
      <c r="B476" s="595"/>
      <c r="C476" s="596"/>
      <c r="D476" s="597"/>
      <c r="E476" s="597"/>
      <c r="F476" s="597"/>
      <c r="G476" s="597"/>
      <c r="H476" s="597"/>
      <c r="I476" s="597"/>
      <c r="J476" s="598"/>
      <c r="K476" s="596"/>
      <c r="L476" s="597"/>
      <c r="M476" s="597"/>
      <c r="N476" s="597"/>
      <c r="O476" s="596"/>
      <c r="P476" s="599"/>
      <c r="Q476" s="597"/>
      <c r="R476" s="600"/>
      <c r="S476"/>
      <c r="T476"/>
      <c r="U476"/>
      <c r="V476"/>
    </row>
    <row r="477" spans="1:22">
      <c r="A477" s="285"/>
      <c r="B477" s="264"/>
      <c r="C477" s="281"/>
      <c r="D477" s="282"/>
      <c r="E477" s="282"/>
      <c r="F477" s="282"/>
      <c r="G477" s="282"/>
      <c r="H477" s="282"/>
      <c r="I477" s="282"/>
      <c r="J477" s="283"/>
      <c r="K477" s="281"/>
      <c r="L477" s="282"/>
      <c r="M477" s="282"/>
      <c r="N477" s="282"/>
      <c r="O477" s="281"/>
      <c r="P477" s="281"/>
      <c r="Q477" s="282"/>
      <c r="R477" s="284"/>
      <c r="S477"/>
      <c r="T477"/>
      <c r="U477"/>
      <c r="V477"/>
    </row>
    <row r="478" spans="1:22">
      <c r="A478" s="285"/>
      <c r="B478" s="286"/>
      <c r="C478" s="287"/>
      <c r="D478" s="288"/>
      <c r="E478" s="288"/>
      <c r="F478" s="288"/>
      <c r="G478" s="288"/>
      <c r="H478" s="288"/>
      <c r="I478" s="288"/>
      <c r="J478" s="289"/>
      <c r="K478" s="287"/>
      <c r="L478" s="288"/>
      <c r="M478" s="288"/>
      <c r="N478" s="288"/>
      <c r="O478" s="287"/>
      <c r="P478" s="287"/>
      <c r="Q478" s="288"/>
      <c r="R478" s="290"/>
      <c r="S478"/>
      <c r="T478"/>
      <c r="U478"/>
      <c r="V478"/>
    </row>
    <row r="479" spans="1:22">
      <c r="A479" s="285"/>
      <c r="B479" s="595"/>
      <c r="C479" s="596"/>
      <c r="D479" s="597"/>
      <c r="E479" s="597"/>
      <c r="F479" s="597"/>
      <c r="G479" s="597"/>
      <c r="H479" s="597"/>
      <c r="I479" s="597"/>
      <c r="J479" s="598"/>
      <c r="K479" s="596"/>
      <c r="L479" s="597"/>
      <c r="M479" s="597"/>
      <c r="N479" s="597"/>
      <c r="O479" s="596"/>
      <c r="P479" s="599"/>
      <c r="Q479" s="597"/>
      <c r="R479" s="600"/>
      <c r="S479"/>
      <c r="T479"/>
      <c r="U479"/>
      <c r="V479"/>
    </row>
    <row r="480" spans="1:22">
      <c r="A480" s="285"/>
      <c r="B480" s="264"/>
      <c r="C480" s="281"/>
      <c r="D480" s="282"/>
      <c r="E480" s="282"/>
      <c r="F480" s="282"/>
      <c r="G480" s="282"/>
      <c r="H480" s="282"/>
      <c r="I480" s="282"/>
      <c r="J480" s="283"/>
      <c r="K480" s="281"/>
      <c r="L480" s="282"/>
      <c r="M480" s="282"/>
      <c r="N480" s="282"/>
      <c r="O480" s="281"/>
      <c r="P480" s="281"/>
      <c r="Q480" s="282"/>
      <c r="R480" s="284"/>
      <c r="S480"/>
      <c r="T480"/>
      <c r="U480"/>
      <c r="V480"/>
    </row>
    <row r="481" spans="1:22">
      <c r="A481" s="285"/>
      <c r="B481" s="286"/>
      <c r="C481" s="287"/>
      <c r="D481" s="288"/>
      <c r="E481" s="288"/>
      <c r="F481" s="288"/>
      <c r="G481" s="288"/>
      <c r="H481" s="288"/>
      <c r="I481" s="288"/>
      <c r="J481" s="289"/>
      <c r="K481" s="287"/>
      <c r="L481" s="288"/>
      <c r="M481" s="288"/>
      <c r="N481" s="288"/>
      <c r="O481" s="287"/>
      <c r="P481" s="287"/>
      <c r="Q481" s="288"/>
      <c r="R481" s="290"/>
      <c r="S481"/>
      <c r="T481"/>
      <c r="U481"/>
      <c r="V481"/>
    </row>
    <row r="482" spans="1:22">
      <c r="A482" s="285"/>
      <c r="B482" s="595"/>
      <c r="C482" s="596"/>
      <c r="D482" s="597"/>
      <c r="E482" s="597"/>
      <c r="F482" s="597"/>
      <c r="G482" s="597"/>
      <c r="H482" s="597"/>
      <c r="I482" s="597"/>
      <c r="J482" s="598"/>
      <c r="K482" s="596"/>
      <c r="L482" s="597"/>
      <c r="M482" s="597"/>
      <c r="N482" s="597"/>
      <c r="O482" s="596"/>
      <c r="P482" s="599"/>
      <c r="Q482" s="597"/>
      <c r="R482" s="600"/>
      <c r="S482"/>
      <c r="T482"/>
      <c r="U482"/>
      <c r="V482"/>
    </row>
    <row r="483" spans="1:22">
      <c r="A483" s="285"/>
      <c r="B483" s="264"/>
      <c r="C483" s="281"/>
      <c r="D483" s="282"/>
      <c r="E483" s="282"/>
      <c r="F483" s="282"/>
      <c r="G483" s="282"/>
      <c r="H483" s="282"/>
      <c r="I483" s="282"/>
      <c r="J483" s="283"/>
      <c r="K483" s="281"/>
      <c r="L483" s="282"/>
      <c r="M483" s="282"/>
      <c r="N483" s="282"/>
      <c r="O483" s="281"/>
      <c r="P483" s="281"/>
      <c r="Q483" s="282"/>
      <c r="R483" s="284"/>
      <c r="S483"/>
      <c r="T483"/>
      <c r="U483"/>
      <c r="V483"/>
    </row>
    <row r="484" spans="1:22">
      <c r="A484" s="285"/>
      <c r="B484" s="286"/>
      <c r="C484" s="287"/>
      <c r="D484" s="288"/>
      <c r="E484" s="288"/>
      <c r="F484" s="288"/>
      <c r="G484" s="288"/>
      <c r="H484" s="288"/>
      <c r="I484" s="288"/>
      <c r="J484" s="289"/>
      <c r="K484" s="287"/>
      <c r="L484" s="288"/>
      <c r="M484" s="288"/>
      <c r="N484" s="288"/>
      <c r="O484" s="287"/>
      <c r="P484" s="287"/>
      <c r="Q484" s="288"/>
      <c r="R484" s="290"/>
      <c r="S484"/>
      <c r="T484"/>
      <c r="U484"/>
      <c r="V484"/>
    </row>
    <row r="485" spans="1:22">
      <c r="A485" s="285"/>
      <c r="B485" s="595"/>
      <c r="C485" s="596"/>
      <c r="D485" s="597"/>
      <c r="E485" s="597"/>
      <c r="F485" s="597"/>
      <c r="G485" s="597"/>
      <c r="H485" s="597"/>
      <c r="I485" s="597"/>
      <c r="J485" s="598"/>
      <c r="K485" s="596"/>
      <c r="L485" s="597"/>
      <c r="M485" s="597"/>
      <c r="N485" s="597"/>
      <c r="O485" s="596"/>
      <c r="P485" s="599"/>
      <c r="Q485" s="597"/>
      <c r="R485" s="600"/>
      <c r="S485"/>
      <c r="T485"/>
      <c r="U485"/>
      <c r="V485"/>
    </row>
    <row r="486" spans="1:22">
      <c r="A486" s="285"/>
      <c r="B486" s="264"/>
      <c r="C486" s="281"/>
      <c r="D486" s="282"/>
      <c r="E486" s="282"/>
      <c r="F486" s="282"/>
      <c r="G486" s="282"/>
      <c r="H486" s="282"/>
      <c r="I486" s="282"/>
      <c r="J486" s="283"/>
      <c r="K486" s="281"/>
      <c r="L486" s="282"/>
      <c r="M486" s="282"/>
      <c r="N486" s="282"/>
      <c r="O486" s="281"/>
      <c r="P486" s="281"/>
      <c r="Q486" s="282"/>
      <c r="R486" s="284"/>
      <c r="S486"/>
      <c r="T486"/>
      <c r="U486"/>
      <c r="V486"/>
    </row>
    <row r="487" spans="1:22">
      <c r="A487" s="285"/>
      <c r="B487" s="286"/>
      <c r="C487" s="287"/>
      <c r="D487" s="288"/>
      <c r="E487" s="288"/>
      <c r="F487" s="288"/>
      <c r="G487" s="288"/>
      <c r="H487" s="288"/>
      <c r="I487" s="288"/>
      <c r="J487" s="289"/>
      <c r="K487" s="287"/>
      <c r="L487" s="288"/>
      <c r="M487" s="288"/>
      <c r="N487" s="288"/>
      <c r="O487" s="287"/>
      <c r="P487" s="287"/>
      <c r="Q487" s="288"/>
      <c r="R487" s="290"/>
      <c r="S487"/>
      <c r="T487"/>
      <c r="U487"/>
      <c r="V487"/>
    </row>
    <row r="488" spans="1:22">
      <c r="A488" s="285"/>
      <c r="B488" s="595"/>
      <c r="C488" s="596"/>
      <c r="D488" s="597"/>
      <c r="E488" s="597"/>
      <c r="F488" s="597"/>
      <c r="G488" s="597"/>
      <c r="H488" s="597"/>
      <c r="I488" s="597"/>
      <c r="J488" s="598"/>
      <c r="K488" s="596"/>
      <c r="L488" s="597"/>
      <c r="M488" s="597"/>
      <c r="N488" s="597"/>
      <c r="O488" s="596"/>
      <c r="P488" s="599"/>
      <c r="Q488" s="597"/>
      <c r="R488" s="600"/>
      <c r="S488"/>
      <c r="T488"/>
      <c r="U488"/>
      <c r="V488"/>
    </row>
    <row r="489" spans="1:22">
      <c r="A489" s="285"/>
      <c r="B489" s="264"/>
      <c r="C489" s="281"/>
      <c r="D489" s="282"/>
      <c r="E489" s="282"/>
      <c r="F489" s="282"/>
      <c r="G489" s="282"/>
      <c r="H489" s="282"/>
      <c r="I489" s="282"/>
      <c r="J489" s="283"/>
      <c r="K489" s="281"/>
      <c r="L489" s="282"/>
      <c r="M489" s="282"/>
      <c r="N489" s="282"/>
      <c r="O489" s="281"/>
      <c r="P489" s="281"/>
      <c r="Q489" s="282"/>
      <c r="R489" s="284"/>
      <c r="S489"/>
      <c r="T489"/>
      <c r="U489"/>
      <c r="V489"/>
    </row>
    <row r="490" spans="1:22">
      <c r="A490" s="285"/>
      <c r="B490" s="286"/>
      <c r="C490" s="287"/>
      <c r="D490" s="288"/>
      <c r="E490" s="288"/>
      <c r="F490" s="288"/>
      <c r="G490" s="288"/>
      <c r="H490" s="288"/>
      <c r="I490" s="288"/>
      <c r="J490" s="289"/>
      <c r="K490" s="287"/>
      <c r="L490" s="288"/>
      <c r="M490" s="288"/>
      <c r="N490" s="288"/>
      <c r="O490" s="287"/>
      <c r="P490" s="287"/>
      <c r="Q490" s="288"/>
      <c r="R490" s="290"/>
      <c r="S490"/>
      <c r="T490"/>
      <c r="U490"/>
      <c r="V490"/>
    </row>
    <row r="491" spans="1:22">
      <c r="A491" s="285"/>
      <c r="B491" s="595"/>
      <c r="C491" s="596"/>
      <c r="D491" s="597"/>
      <c r="E491" s="597"/>
      <c r="F491" s="597"/>
      <c r="G491" s="597"/>
      <c r="H491" s="597"/>
      <c r="I491" s="597"/>
      <c r="J491" s="598"/>
      <c r="K491" s="596"/>
      <c r="L491" s="597"/>
      <c r="M491" s="597"/>
      <c r="N491" s="597"/>
      <c r="O491" s="596"/>
      <c r="P491" s="599"/>
      <c r="Q491" s="597"/>
      <c r="R491" s="600"/>
      <c r="S491"/>
      <c r="T491"/>
      <c r="U491"/>
      <c r="V491"/>
    </row>
    <row r="492" spans="1:22">
      <c r="A492" s="285"/>
      <c r="B492" s="264"/>
      <c r="C492" s="281"/>
      <c r="D492" s="282"/>
      <c r="E492" s="282"/>
      <c r="F492" s="282"/>
      <c r="G492" s="282"/>
      <c r="H492" s="282"/>
      <c r="I492" s="282"/>
      <c r="J492" s="283"/>
      <c r="K492" s="281"/>
      <c r="L492" s="282"/>
      <c r="M492" s="282"/>
      <c r="N492" s="282"/>
      <c r="O492" s="281"/>
      <c r="P492" s="281"/>
      <c r="Q492" s="282"/>
      <c r="R492" s="284"/>
      <c r="S492"/>
      <c r="T492"/>
      <c r="U492"/>
      <c r="V492"/>
    </row>
    <row r="493" spans="1:22">
      <c r="A493" s="285"/>
      <c r="B493" s="286"/>
      <c r="C493" s="287"/>
      <c r="D493" s="288"/>
      <c r="E493" s="288"/>
      <c r="F493" s="288"/>
      <c r="G493" s="288"/>
      <c r="H493" s="288"/>
      <c r="I493" s="288"/>
      <c r="J493" s="289"/>
      <c r="K493" s="287"/>
      <c r="L493" s="288"/>
      <c r="M493" s="288"/>
      <c r="N493" s="288"/>
      <c r="O493" s="287"/>
      <c r="P493" s="287"/>
      <c r="Q493" s="288"/>
      <c r="R493" s="290"/>
      <c r="S493"/>
      <c r="T493"/>
      <c r="U493"/>
      <c r="V493"/>
    </row>
    <row r="494" spans="1:22">
      <c r="A494" s="285"/>
      <c r="B494" s="595"/>
      <c r="C494" s="596"/>
      <c r="D494" s="597"/>
      <c r="E494" s="597"/>
      <c r="F494" s="597"/>
      <c r="G494" s="597"/>
      <c r="H494" s="597"/>
      <c r="I494" s="597"/>
      <c r="J494" s="598"/>
      <c r="K494" s="596"/>
      <c r="L494" s="597"/>
      <c r="M494" s="597"/>
      <c r="N494" s="597"/>
      <c r="O494" s="596"/>
      <c r="P494" s="599"/>
      <c r="Q494" s="597"/>
      <c r="R494" s="600"/>
      <c r="S494"/>
      <c r="T494"/>
      <c r="U494"/>
      <c r="V494"/>
    </row>
    <row r="495" spans="1:22">
      <c r="A495" s="285"/>
      <c r="B495" s="264"/>
      <c r="C495" s="281"/>
      <c r="D495" s="282"/>
      <c r="E495" s="282"/>
      <c r="F495" s="282"/>
      <c r="G495" s="282"/>
      <c r="H495" s="282"/>
      <c r="I495" s="282"/>
      <c r="J495" s="283"/>
      <c r="K495" s="281"/>
      <c r="L495" s="282"/>
      <c r="M495" s="282"/>
      <c r="N495" s="282"/>
      <c r="O495" s="281"/>
      <c r="P495" s="281"/>
      <c r="Q495" s="282"/>
      <c r="R495" s="284"/>
      <c r="S495"/>
      <c r="T495"/>
      <c r="U495"/>
      <c r="V495"/>
    </row>
    <row r="496" spans="1:22">
      <c r="A496" s="285"/>
      <c r="B496" s="286"/>
      <c r="C496" s="287"/>
      <c r="D496" s="288"/>
      <c r="E496" s="288"/>
      <c r="F496" s="288"/>
      <c r="G496" s="288"/>
      <c r="H496" s="288"/>
      <c r="I496" s="288"/>
      <c r="J496" s="289"/>
      <c r="K496" s="287"/>
      <c r="L496" s="288"/>
      <c r="M496" s="288"/>
      <c r="N496" s="288"/>
      <c r="O496" s="287"/>
      <c r="P496" s="287"/>
      <c r="Q496" s="288"/>
      <c r="R496" s="290"/>
      <c r="S496"/>
      <c r="T496"/>
      <c r="U496"/>
      <c r="V496"/>
    </row>
    <row r="497" spans="1:22">
      <c r="A497" s="285"/>
      <c r="B497" s="595"/>
      <c r="C497" s="596"/>
      <c r="D497" s="597"/>
      <c r="E497" s="597"/>
      <c r="F497" s="597"/>
      <c r="G497" s="597"/>
      <c r="H497" s="597"/>
      <c r="I497" s="597"/>
      <c r="J497" s="598"/>
      <c r="K497" s="596"/>
      <c r="L497" s="597"/>
      <c r="M497" s="597"/>
      <c r="N497" s="597"/>
      <c r="O497" s="596"/>
      <c r="P497" s="599"/>
      <c r="Q497" s="597"/>
      <c r="R497" s="600"/>
      <c r="S497"/>
      <c r="T497"/>
      <c r="U497"/>
      <c r="V497"/>
    </row>
    <row r="498" spans="1:22">
      <c r="A498" s="285"/>
      <c r="B498" s="264"/>
      <c r="C498" s="281"/>
      <c r="D498" s="282"/>
      <c r="E498" s="282"/>
      <c r="F498" s="282"/>
      <c r="G498" s="282"/>
      <c r="H498" s="282"/>
      <c r="I498" s="282"/>
      <c r="J498" s="283"/>
      <c r="K498" s="281"/>
      <c r="L498" s="282"/>
      <c r="M498" s="282"/>
      <c r="N498" s="282"/>
      <c r="O498" s="281"/>
      <c r="P498" s="281"/>
      <c r="Q498" s="282"/>
      <c r="R498" s="284"/>
      <c r="S498"/>
      <c r="T498"/>
      <c r="U498"/>
      <c r="V498"/>
    </row>
    <row r="499" spans="1:22">
      <c r="A499" s="285"/>
      <c r="B499" s="286"/>
      <c r="C499" s="287"/>
      <c r="D499" s="288"/>
      <c r="E499" s="288"/>
      <c r="F499" s="288"/>
      <c r="G499" s="288"/>
      <c r="H499" s="288"/>
      <c r="I499" s="288"/>
      <c r="J499" s="289"/>
      <c r="K499" s="287"/>
      <c r="L499" s="288"/>
      <c r="M499" s="288"/>
      <c r="N499" s="288"/>
      <c r="O499" s="287"/>
      <c r="P499" s="287"/>
      <c r="Q499" s="288"/>
      <c r="R499" s="290"/>
      <c r="S499"/>
      <c r="T499"/>
      <c r="U499"/>
      <c r="V499"/>
    </row>
    <row r="500" spans="1:22">
      <c r="A500" s="285"/>
      <c r="B500" s="595"/>
      <c r="C500" s="596"/>
      <c r="D500" s="597"/>
      <c r="E500" s="597"/>
      <c r="F500" s="597"/>
      <c r="G500" s="597"/>
      <c r="H500" s="597"/>
      <c r="I500" s="597"/>
      <c r="J500" s="598"/>
      <c r="K500" s="596"/>
      <c r="L500" s="597"/>
      <c r="M500" s="597"/>
      <c r="N500" s="597"/>
      <c r="O500" s="596"/>
      <c r="P500" s="599"/>
      <c r="Q500" s="597"/>
      <c r="R500" s="600"/>
      <c r="S500"/>
      <c r="T500"/>
      <c r="U500"/>
      <c r="V500"/>
    </row>
    <row r="501" spans="1:22">
      <c r="A501" s="285"/>
      <c r="B501" s="264"/>
      <c r="C501" s="281"/>
      <c r="D501" s="282"/>
      <c r="E501" s="282"/>
      <c r="F501" s="282"/>
      <c r="G501" s="282"/>
      <c r="H501" s="282"/>
      <c r="I501" s="282"/>
      <c r="J501" s="283"/>
      <c r="K501" s="281"/>
      <c r="L501" s="282"/>
      <c r="M501" s="282"/>
      <c r="N501" s="282"/>
      <c r="O501" s="281"/>
      <c r="P501" s="281"/>
      <c r="Q501" s="282"/>
      <c r="R501" s="284"/>
      <c r="S501"/>
      <c r="T501"/>
      <c r="U501"/>
      <c r="V501"/>
    </row>
    <row r="502" spans="1:22">
      <c r="A502" s="285"/>
      <c r="B502" s="286"/>
      <c r="C502" s="287"/>
      <c r="D502" s="288"/>
      <c r="E502" s="288"/>
      <c r="F502" s="288"/>
      <c r="G502" s="288"/>
      <c r="H502" s="288"/>
      <c r="I502" s="288"/>
      <c r="J502" s="289"/>
      <c r="K502" s="287"/>
      <c r="L502" s="288"/>
      <c r="M502" s="288"/>
      <c r="N502" s="288"/>
      <c r="O502" s="287"/>
      <c r="P502" s="287"/>
      <c r="Q502" s="288"/>
      <c r="R502" s="290"/>
      <c r="S502"/>
      <c r="T502"/>
      <c r="U502"/>
      <c r="V502"/>
    </row>
    <row r="503" spans="1:22">
      <c r="A503" s="285"/>
      <c r="B503" s="595"/>
      <c r="C503" s="596"/>
      <c r="D503" s="597"/>
      <c r="E503" s="597"/>
      <c r="F503" s="597"/>
      <c r="G503" s="597"/>
      <c r="H503" s="597"/>
      <c r="I503" s="597"/>
      <c r="J503" s="598"/>
      <c r="K503" s="596"/>
      <c r="L503" s="597"/>
      <c r="M503" s="597"/>
      <c r="N503" s="597"/>
      <c r="O503" s="596"/>
      <c r="P503" s="599"/>
      <c r="Q503" s="597"/>
      <c r="R503" s="600"/>
      <c r="S503"/>
      <c r="T503"/>
      <c r="U503"/>
      <c r="V503"/>
    </row>
    <row r="504" spans="1:22">
      <c r="A504" s="285"/>
      <c r="B504" s="264"/>
      <c r="C504" s="281"/>
      <c r="D504" s="282"/>
      <c r="E504" s="282"/>
      <c r="F504" s="282"/>
      <c r="G504" s="282"/>
      <c r="H504" s="282"/>
      <c r="I504" s="282"/>
      <c r="J504" s="283"/>
      <c r="K504" s="281"/>
      <c r="L504" s="282"/>
      <c r="M504" s="282"/>
      <c r="N504" s="282"/>
      <c r="O504" s="281"/>
      <c r="P504" s="281"/>
      <c r="Q504" s="282"/>
      <c r="R504" s="284"/>
      <c r="S504"/>
      <c r="T504"/>
      <c r="U504"/>
      <c r="V504"/>
    </row>
    <row r="505" spans="1:22">
      <c r="A505" s="285"/>
      <c r="B505" s="286"/>
      <c r="C505" s="287"/>
      <c r="D505" s="288"/>
      <c r="E505" s="288"/>
      <c r="F505" s="288"/>
      <c r="G505" s="288"/>
      <c r="H505" s="288"/>
      <c r="I505" s="288"/>
      <c r="J505" s="289"/>
      <c r="K505" s="287"/>
      <c r="L505" s="288"/>
      <c r="M505" s="288"/>
      <c r="N505" s="288"/>
      <c r="O505" s="287"/>
      <c r="P505" s="287"/>
      <c r="Q505" s="288"/>
      <c r="R505" s="290"/>
      <c r="S505"/>
      <c r="T505"/>
      <c r="U505"/>
      <c r="V505"/>
    </row>
    <row r="506" spans="1:22">
      <c r="A506" s="285"/>
      <c r="B506" s="595"/>
      <c r="C506" s="596"/>
      <c r="D506" s="597"/>
      <c r="E506" s="597"/>
      <c r="F506" s="597"/>
      <c r="G506" s="597"/>
      <c r="H506" s="597"/>
      <c r="I506" s="597"/>
      <c r="J506" s="598"/>
      <c r="K506" s="596"/>
      <c r="L506" s="597"/>
      <c r="M506" s="597"/>
      <c r="N506" s="597"/>
      <c r="O506" s="596"/>
      <c r="P506" s="599"/>
      <c r="Q506" s="597"/>
      <c r="R506" s="600"/>
      <c r="S506"/>
      <c r="T506"/>
      <c r="U506"/>
      <c r="V506"/>
    </row>
    <row r="507" spans="1:22">
      <c r="A507" s="285"/>
      <c r="B507" s="264"/>
      <c r="C507" s="281"/>
      <c r="D507" s="282"/>
      <c r="E507" s="282"/>
      <c r="F507" s="282"/>
      <c r="G507" s="282"/>
      <c r="H507" s="282"/>
      <c r="I507" s="282"/>
      <c r="J507" s="283"/>
      <c r="K507" s="281"/>
      <c r="L507" s="282"/>
      <c r="M507" s="282"/>
      <c r="N507" s="282"/>
      <c r="O507" s="281"/>
      <c r="P507" s="281"/>
      <c r="Q507" s="282"/>
      <c r="R507" s="284"/>
      <c r="S507"/>
      <c r="T507"/>
      <c r="U507"/>
      <c r="V507"/>
    </row>
    <row r="508" spans="1:22">
      <c r="A508" s="285"/>
      <c r="B508" s="286"/>
      <c r="C508" s="287"/>
      <c r="D508" s="288"/>
      <c r="E508" s="288"/>
      <c r="F508" s="288"/>
      <c r="G508" s="288"/>
      <c r="H508" s="288"/>
      <c r="I508" s="288"/>
      <c r="J508" s="289"/>
      <c r="K508" s="287"/>
      <c r="L508" s="288"/>
      <c r="M508" s="288"/>
      <c r="N508" s="288"/>
      <c r="O508" s="287"/>
      <c r="P508" s="287"/>
      <c r="Q508" s="288"/>
      <c r="R508" s="290"/>
      <c r="S508"/>
      <c r="T508"/>
      <c r="U508"/>
      <c r="V508"/>
    </row>
    <row r="509" spans="1:22">
      <c r="A509" s="292"/>
      <c r="B509" s="595"/>
      <c r="C509" s="596"/>
      <c r="D509" s="597"/>
      <c r="E509" s="597"/>
      <c r="F509" s="597"/>
      <c r="G509" s="597"/>
      <c r="H509" s="597"/>
      <c r="I509" s="597"/>
      <c r="J509" s="598"/>
      <c r="K509" s="596"/>
      <c r="L509" s="597"/>
      <c r="M509" s="597"/>
      <c r="N509" s="597"/>
      <c r="O509" s="596"/>
      <c r="P509" s="599"/>
      <c r="Q509" s="597"/>
      <c r="R509" s="600"/>
      <c r="S509"/>
      <c r="T509"/>
      <c r="U509"/>
      <c r="V509"/>
    </row>
    <row r="510" spans="1:22">
      <c r="A510" s="280"/>
      <c r="B510" s="264"/>
      <c r="C510" s="281"/>
      <c r="D510" s="282"/>
      <c r="E510" s="282"/>
      <c r="F510" s="282"/>
      <c r="G510" s="282"/>
      <c r="H510" s="282"/>
      <c r="I510" s="282"/>
      <c r="J510" s="283"/>
      <c r="K510" s="281"/>
      <c r="L510" s="282"/>
      <c r="M510" s="282"/>
      <c r="N510" s="282"/>
      <c r="O510" s="281"/>
      <c r="P510" s="281"/>
      <c r="Q510" s="282"/>
      <c r="R510" s="284"/>
      <c r="S510"/>
      <c r="T510"/>
      <c r="U510"/>
      <c r="V510"/>
    </row>
    <row r="511" spans="1:22">
      <c r="A511" s="285"/>
      <c r="B511" s="286"/>
      <c r="C511" s="287"/>
      <c r="D511" s="288"/>
      <c r="E511" s="288"/>
      <c r="F511" s="288"/>
      <c r="G511" s="288"/>
      <c r="H511" s="288"/>
      <c r="I511" s="288"/>
      <c r="J511" s="289"/>
      <c r="K511" s="287"/>
      <c r="L511" s="288"/>
      <c r="M511" s="288"/>
      <c r="N511" s="288"/>
      <c r="O511" s="287"/>
      <c r="P511" s="287"/>
      <c r="Q511" s="288"/>
      <c r="R511" s="290"/>
      <c r="S511"/>
      <c r="T511"/>
      <c r="U511"/>
      <c r="V511"/>
    </row>
    <row r="512" spans="1:22">
      <c r="A512" s="285"/>
      <c r="B512" s="595"/>
      <c r="C512" s="596"/>
      <c r="D512" s="597"/>
      <c r="E512" s="597"/>
      <c r="F512" s="597"/>
      <c r="G512" s="597"/>
      <c r="H512" s="597"/>
      <c r="I512" s="597"/>
      <c r="J512" s="598"/>
      <c r="K512" s="596"/>
      <c r="L512" s="597"/>
      <c r="M512" s="597"/>
      <c r="N512" s="597"/>
      <c r="O512" s="596"/>
      <c r="P512" s="599"/>
      <c r="Q512" s="597"/>
      <c r="R512" s="600"/>
      <c r="S512"/>
      <c r="T512"/>
      <c r="U512"/>
      <c r="V512"/>
    </row>
    <row r="513" spans="1:22">
      <c r="A513" s="285"/>
      <c r="B513" s="264"/>
      <c r="C513" s="281"/>
      <c r="D513" s="282"/>
      <c r="E513" s="282"/>
      <c r="F513" s="282"/>
      <c r="G513" s="282"/>
      <c r="H513" s="282"/>
      <c r="I513" s="282"/>
      <c r="J513" s="283"/>
      <c r="K513" s="281"/>
      <c r="L513" s="282"/>
      <c r="M513" s="282"/>
      <c r="N513" s="282"/>
      <c r="O513" s="281"/>
      <c r="P513" s="281"/>
      <c r="Q513" s="282"/>
      <c r="R513" s="284"/>
      <c r="S513"/>
      <c r="T513"/>
      <c r="U513"/>
      <c r="V513"/>
    </row>
    <row r="514" spans="1:22">
      <c r="A514" s="285"/>
      <c r="B514" s="286"/>
      <c r="C514" s="287"/>
      <c r="D514" s="288"/>
      <c r="E514" s="288"/>
      <c r="F514" s="288"/>
      <c r="G514" s="288"/>
      <c r="H514" s="288"/>
      <c r="I514" s="288"/>
      <c r="J514" s="289"/>
      <c r="K514" s="287"/>
      <c r="L514" s="288"/>
      <c r="M514" s="288"/>
      <c r="N514" s="288"/>
      <c r="O514" s="287"/>
      <c r="P514" s="287"/>
      <c r="Q514" s="288"/>
      <c r="R514" s="290"/>
      <c r="S514"/>
      <c r="T514"/>
      <c r="U514"/>
      <c r="V514"/>
    </row>
    <row r="515" spans="1:22">
      <c r="A515" s="285"/>
      <c r="B515" s="595"/>
      <c r="C515" s="596"/>
      <c r="D515" s="597"/>
      <c r="E515" s="597"/>
      <c r="F515" s="597"/>
      <c r="G515" s="597"/>
      <c r="H515" s="597"/>
      <c r="I515" s="597"/>
      <c r="J515" s="598"/>
      <c r="K515" s="596"/>
      <c r="L515" s="597"/>
      <c r="M515" s="597"/>
      <c r="N515" s="597"/>
      <c r="O515" s="596"/>
      <c r="P515" s="599"/>
      <c r="Q515" s="597"/>
      <c r="R515" s="600"/>
      <c r="S515"/>
      <c r="T515"/>
      <c r="U515"/>
      <c r="V515"/>
    </row>
    <row r="516" spans="1:22">
      <c r="A516" s="285"/>
      <c r="B516" s="264"/>
      <c r="C516" s="281"/>
      <c r="D516" s="282"/>
      <c r="E516" s="282"/>
      <c r="F516" s="282"/>
      <c r="G516" s="282"/>
      <c r="H516" s="282"/>
      <c r="I516" s="282"/>
      <c r="J516" s="283"/>
      <c r="K516" s="281"/>
      <c r="L516" s="282"/>
      <c r="M516" s="282"/>
      <c r="N516" s="282"/>
      <c r="O516" s="281"/>
      <c r="P516" s="281"/>
      <c r="Q516" s="282"/>
      <c r="R516" s="284"/>
      <c r="S516"/>
      <c r="T516"/>
      <c r="U516"/>
      <c r="V516"/>
    </row>
    <row r="517" spans="1:22">
      <c r="A517" s="285"/>
      <c r="B517" s="286"/>
      <c r="C517" s="287"/>
      <c r="D517" s="288"/>
      <c r="E517" s="288"/>
      <c r="F517" s="288"/>
      <c r="G517" s="288"/>
      <c r="H517" s="288"/>
      <c r="I517" s="288"/>
      <c r="J517" s="289"/>
      <c r="K517" s="287"/>
      <c r="L517" s="288"/>
      <c r="M517" s="288"/>
      <c r="N517" s="288"/>
      <c r="O517" s="287"/>
      <c r="P517" s="287"/>
      <c r="Q517" s="288"/>
      <c r="R517" s="290"/>
      <c r="S517"/>
      <c r="T517"/>
      <c r="U517"/>
      <c r="V517"/>
    </row>
    <row r="518" spans="1:22">
      <c r="A518" s="285"/>
      <c r="B518" s="595"/>
      <c r="C518" s="596"/>
      <c r="D518" s="597"/>
      <c r="E518" s="597"/>
      <c r="F518" s="597"/>
      <c r="G518" s="597"/>
      <c r="H518" s="597"/>
      <c r="I518" s="597"/>
      <c r="J518" s="598"/>
      <c r="K518" s="596"/>
      <c r="L518" s="597"/>
      <c r="M518" s="597"/>
      <c r="N518" s="597"/>
      <c r="O518" s="596"/>
      <c r="P518" s="599"/>
      <c r="Q518" s="597"/>
      <c r="R518" s="600"/>
      <c r="S518"/>
      <c r="T518"/>
      <c r="U518"/>
      <c r="V518"/>
    </row>
    <row r="519" spans="1:22">
      <c r="A519" s="285"/>
      <c r="B519" s="264"/>
      <c r="C519" s="281"/>
      <c r="D519" s="282"/>
      <c r="E519" s="282"/>
      <c r="F519" s="282"/>
      <c r="G519" s="282"/>
      <c r="H519" s="282"/>
      <c r="I519" s="282"/>
      <c r="J519" s="283"/>
      <c r="K519" s="281"/>
      <c r="L519" s="282"/>
      <c r="M519" s="282"/>
      <c r="N519" s="282"/>
      <c r="O519" s="281"/>
      <c r="P519" s="281"/>
      <c r="Q519" s="282"/>
      <c r="R519" s="284"/>
      <c r="S519"/>
      <c r="T519"/>
      <c r="U519"/>
      <c r="V519"/>
    </row>
    <row r="520" spans="1:22">
      <c r="A520" s="285"/>
      <c r="B520" s="286"/>
      <c r="C520" s="287"/>
      <c r="D520" s="288"/>
      <c r="E520" s="288"/>
      <c r="F520" s="288"/>
      <c r="G520" s="288"/>
      <c r="H520" s="288"/>
      <c r="I520" s="288"/>
      <c r="J520" s="289"/>
      <c r="K520" s="287"/>
      <c r="L520" s="288"/>
      <c r="M520" s="288"/>
      <c r="N520" s="288"/>
      <c r="O520" s="287"/>
      <c r="P520" s="287"/>
      <c r="Q520" s="288"/>
      <c r="R520" s="290"/>
      <c r="S520"/>
      <c r="T520"/>
      <c r="U520"/>
      <c r="V520"/>
    </row>
    <row r="521" spans="1:22">
      <c r="A521" s="285"/>
      <c r="B521" s="595"/>
      <c r="C521" s="596"/>
      <c r="D521" s="597"/>
      <c r="E521" s="597"/>
      <c r="F521" s="597"/>
      <c r="G521" s="597"/>
      <c r="H521" s="597"/>
      <c r="I521" s="597"/>
      <c r="J521" s="598"/>
      <c r="K521" s="596"/>
      <c r="L521" s="597"/>
      <c r="M521" s="597"/>
      <c r="N521" s="597"/>
      <c r="O521" s="596"/>
      <c r="P521" s="599"/>
      <c r="Q521" s="597"/>
      <c r="R521" s="600"/>
      <c r="S521"/>
      <c r="T521"/>
      <c r="U521"/>
      <c r="V521"/>
    </row>
    <row r="522" spans="1:22">
      <c r="A522" s="285"/>
      <c r="B522" s="264"/>
      <c r="C522" s="281"/>
      <c r="D522" s="282"/>
      <c r="E522" s="282"/>
      <c r="F522" s="282"/>
      <c r="G522" s="282"/>
      <c r="H522" s="282"/>
      <c r="I522" s="282"/>
      <c r="J522" s="283"/>
      <c r="K522" s="281"/>
      <c r="L522" s="282"/>
      <c r="M522" s="282"/>
      <c r="N522" s="282"/>
      <c r="O522" s="281"/>
      <c r="P522" s="281"/>
      <c r="Q522" s="282"/>
      <c r="R522" s="284"/>
      <c r="S522"/>
      <c r="T522"/>
      <c r="U522"/>
      <c r="V522"/>
    </row>
    <row r="523" spans="1:22">
      <c r="A523" s="285"/>
      <c r="B523" s="286"/>
      <c r="C523" s="287"/>
      <c r="D523" s="288"/>
      <c r="E523" s="288"/>
      <c r="F523" s="288"/>
      <c r="G523" s="288"/>
      <c r="H523" s="288"/>
      <c r="I523" s="288"/>
      <c r="J523" s="289"/>
      <c r="K523" s="287"/>
      <c r="L523" s="288"/>
      <c r="M523" s="288"/>
      <c r="N523" s="288"/>
      <c r="O523" s="287"/>
      <c r="P523" s="287"/>
      <c r="Q523" s="288"/>
      <c r="R523" s="290"/>
      <c r="S523"/>
      <c r="T523"/>
      <c r="U523"/>
      <c r="V523"/>
    </row>
    <row r="524" spans="1:22">
      <c r="A524" s="285"/>
      <c r="B524" s="595"/>
      <c r="C524" s="596"/>
      <c r="D524" s="597"/>
      <c r="E524" s="597"/>
      <c r="F524" s="597"/>
      <c r="G524" s="597"/>
      <c r="H524" s="597"/>
      <c r="I524" s="597"/>
      <c r="J524" s="598"/>
      <c r="K524" s="596"/>
      <c r="L524" s="597"/>
      <c r="M524" s="597"/>
      <c r="N524" s="597"/>
      <c r="O524" s="596"/>
      <c r="P524" s="599"/>
      <c r="Q524" s="597"/>
      <c r="R524" s="600"/>
      <c r="S524"/>
      <c r="T524"/>
      <c r="U524"/>
      <c r="V524"/>
    </row>
    <row r="525" spans="1:22">
      <c r="A525" s="285"/>
      <c r="B525" s="264"/>
      <c r="C525" s="281"/>
      <c r="D525" s="282"/>
      <c r="E525" s="282"/>
      <c r="F525" s="282"/>
      <c r="G525" s="282"/>
      <c r="H525" s="282"/>
      <c r="I525" s="282"/>
      <c r="J525" s="283"/>
      <c r="K525" s="281"/>
      <c r="L525" s="282"/>
      <c r="M525" s="282"/>
      <c r="N525" s="282"/>
      <c r="O525" s="281"/>
      <c r="P525" s="281"/>
      <c r="Q525" s="282"/>
      <c r="R525" s="284"/>
      <c r="S525"/>
      <c r="T525"/>
      <c r="U525"/>
      <c r="V525"/>
    </row>
    <row r="526" spans="1:22">
      <c r="A526" s="285"/>
      <c r="B526" s="286"/>
      <c r="C526" s="287"/>
      <c r="D526" s="288"/>
      <c r="E526" s="288"/>
      <c r="F526" s="288"/>
      <c r="G526" s="288"/>
      <c r="H526" s="288"/>
      <c r="I526" s="288"/>
      <c r="J526" s="289"/>
      <c r="K526" s="287"/>
      <c r="L526" s="288"/>
      <c r="M526" s="288"/>
      <c r="N526" s="288"/>
      <c r="O526" s="287"/>
      <c r="P526" s="287"/>
      <c r="Q526" s="288"/>
      <c r="R526" s="290"/>
      <c r="S526"/>
      <c r="T526"/>
      <c r="U526"/>
      <c r="V526"/>
    </row>
    <row r="527" spans="1:22">
      <c r="A527" s="285"/>
      <c r="B527" s="595"/>
      <c r="C527" s="596"/>
      <c r="D527" s="597"/>
      <c r="E527" s="597"/>
      <c r="F527" s="597"/>
      <c r="G527" s="597"/>
      <c r="H527" s="597"/>
      <c r="I527" s="597"/>
      <c r="J527" s="598"/>
      <c r="K527" s="596"/>
      <c r="L527" s="597"/>
      <c r="M527" s="597"/>
      <c r="N527" s="597"/>
      <c r="O527" s="596"/>
      <c r="P527" s="599"/>
      <c r="Q527" s="597"/>
      <c r="R527" s="600"/>
      <c r="S527"/>
      <c r="T527"/>
      <c r="U527"/>
      <c r="V527"/>
    </row>
    <row r="528" spans="1:22">
      <c r="A528" s="285"/>
      <c r="B528" s="264"/>
      <c r="C528" s="281"/>
      <c r="D528" s="282"/>
      <c r="E528" s="282"/>
      <c r="F528" s="282"/>
      <c r="G528" s="282"/>
      <c r="H528" s="282"/>
      <c r="I528" s="282"/>
      <c r="J528" s="283"/>
      <c r="K528" s="281"/>
      <c r="L528" s="282"/>
      <c r="M528" s="282"/>
      <c r="N528" s="282"/>
      <c r="O528" s="281"/>
      <c r="P528" s="281"/>
      <c r="Q528" s="282"/>
      <c r="R528" s="284"/>
      <c r="S528"/>
      <c r="T528"/>
      <c r="U528"/>
      <c r="V528"/>
    </row>
    <row r="529" spans="1:22">
      <c r="A529" s="285"/>
      <c r="B529" s="286"/>
      <c r="C529" s="287"/>
      <c r="D529" s="288"/>
      <c r="E529" s="288"/>
      <c r="F529" s="288"/>
      <c r="G529" s="288"/>
      <c r="H529" s="288"/>
      <c r="I529" s="288"/>
      <c r="J529" s="289"/>
      <c r="K529" s="287"/>
      <c r="L529" s="288"/>
      <c r="M529" s="288"/>
      <c r="N529" s="288"/>
      <c r="O529" s="287"/>
      <c r="P529" s="287"/>
      <c r="Q529" s="288"/>
      <c r="R529" s="290"/>
      <c r="S529"/>
      <c r="T529"/>
      <c r="U529"/>
      <c r="V529"/>
    </row>
    <row r="530" spans="1:22">
      <c r="A530" s="285"/>
      <c r="B530" s="595"/>
      <c r="C530" s="596"/>
      <c r="D530" s="597"/>
      <c r="E530" s="597"/>
      <c r="F530" s="597"/>
      <c r="G530" s="597"/>
      <c r="H530" s="597"/>
      <c r="I530" s="597"/>
      <c r="J530" s="598"/>
      <c r="K530" s="596"/>
      <c r="L530" s="597"/>
      <c r="M530" s="597"/>
      <c r="N530" s="597"/>
      <c r="O530" s="596"/>
      <c r="P530" s="599"/>
      <c r="Q530" s="597"/>
      <c r="R530" s="600"/>
      <c r="S530"/>
      <c r="T530"/>
      <c r="U530"/>
      <c r="V530"/>
    </row>
    <row r="531" spans="1:22">
      <c r="A531" s="285"/>
      <c r="B531" s="264"/>
      <c r="C531" s="281"/>
      <c r="D531" s="282"/>
      <c r="E531" s="282"/>
      <c r="F531" s="282"/>
      <c r="G531" s="282"/>
      <c r="H531" s="282"/>
      <c r="I531" s="282"/>
      <c r="J531" s="283"/>
      <c r="K531" s="281"/>
      <c r="L531" s="282"/>
      <c r="M531" s="282"/>
      <c r="N531" s="282"/>
      <c r="O531" s="281"/>
      <c r="P531" s="281"/>
      <c r="Q531" s="282"/>
      <c r="R531" s="284"/>
      <c r="S531"/>
      <c r="T531"/>
      <c r="U531"/>
      <c r="V531"/>
    </row>
    <row r="532" spans="1:22">
      <c r="A532" s="285"/>
      <c r="B532" s="286"/>
      <c r="C532" s="287"/>
      <c r="D532" s="288"/>
      <c r="E532" s="288"/>
      <c r="F532" s="288"/>
      <c r="G532" s="288"/>
      <c r="H532" s="288"/>
      <c r="I532" s="288"/>
      <c r="J532" s="289"/>
      <c r="K532" s="287"/>
      <c r="L532" s="288"/>
      <c r="M532" s="288"/>
      <c r="N532" s="288"/>
      <c r="O532" s="287"/>
      <c r="P532" s="287"/>
      <c r="Q532" s="288"/>
      <c r="R532" s="290"/>
      <c r="S532"/>
      <c r="T532"/>
      <c r="U532"/>
      <c r="V532"/>
    </row>
    <row r="533" spans="1:22">
      <c r="A533" s="285"/>
      <c r="B533" s="595"/>
      <c r="C533" s="596"/>
      <c r="D533" s="597"/>
      <c r="E533" s="597"/>
      <c r="F533" s="597"/>
      <c r="G533" s="597"/>
      <c r="H533" s="597"/>
      <c r="I533" s="597"/>
      <c r="J533" s="598"/>
      <c r="K533" s="596"/>
      <c r="L533" s="597"/>
      <c r="M533" s="597"/>
      <c r="N533" s="597"/>
      <c r="O533" s="596"/>
      <c r="P533" s="599"/>
      <c r="Q533" s="597"/>
      <c r="R533" s="600"/>
      <c r="S533"/>
      <c r="T533"/>
      <c r="U533"/>
      <c r="V533"/>
    </row>
    <row r="534" spans="1:22">
      <c r="A534" s="285"/>
      <c r="B534" s="264"/>
      <c r="C534" s="281"/>
      <c r="D534" s="282"/>
      <c r="E534" s="282"/>
      <c r="F534" s="282"/>
      <c r="G534" s="282"/>
      <c r="H534" s="282"/>
      <c r="I534" s="282"/>
      <c r="J534" s="283"/>
      <c r="K534" s="281"/>
      <c r="L534" s="282"/>
      <c r="M534" s="282"/>
      <c r="N534" s="282"/>
      <c r="O534" s="281"/>
      <c r="P534" s="281"/>
      <c r="Q534" s="282"/>
      <c r="R534" s="284"/>
      <c r="S534"/>
      <c r="T534"/>
      <c r="U534"/>
      <c r="V534"/>
    </row>
    <row r="535" spans="1:22">
      <c r="A535" s="285"/>
      <c r="B535" s="286"/>
      <c r="C535" s="287"/>
      <c r="D535" s="288"/>
      <c r="E535" s="288"/>
      <c r="F535" s="288"/>
      <c r="G535" s="288"/>
      <c r="H535" s="288"/>
      <c r="I535" s="288"/>
      <c r="J535" s="289"/>
      <c r="K535" s="287"/>
      <c r="L535" s="288"/>
      <c r="M535" s="288"/>
      <c r="N535" s="288"/>
      <c r="O535" s="287"/>
      <c r="P535" s="287"/>
      <c r="Q535" s="288"/>
      <c r="R535" s="290"/>
      <c r="S535"/>
      <c r="T535"/>
      <c r="U535"/>
      <c r="V535"/>
    </row>
    <row r="536" spans="1:22">
      <c r="A536" s="285"/>
      <c r="B536" s="595"/>
      <c r="C536" s="596"/>
      <c r="D536" s="597"/>
      <c r="E536" s="597"/>
      <c r="F536" s="597"/>
      <c r="G536" s="597"/>
      <c r="H536" s="597"/>
      <c r="I536" s="597"/>
      <c r="J536" s="598"/>
      <c r="K536" s="596"/>
      <c r="L536" s="597"/>
      <c r="M536" s="597"/>
      <c r="N536" s="597"/>
      <c r="O536" s="596"/>
      <c r="P536" s="599"/>
      <c r="Q536" s="597"/>
      <c r="R536" s="600"/>
      <c r="S536"/>
      <c r="T536"/>
      <c r="U536"/>
      <c r="V536"/>
    </row>
    <row r="537" spans="1:22">
      <c r="A537" s="285"/>
      <c r="B537" s="264"/>
      <c r="C537" s="281"/>
      <c r="D537" s="282"/>
      <c r="E537" s="282"/>
      <c r="F537" s="282"/>
      <c r="G537" s="282"/>
      <c r="H537" s="282"/>
      <c r="I537" s="282"/>
      <c r="J537" s="283"/>
      <c r="K537" s="281"/>
      <c r="L537" s="282"/>
      <c r="M537" s="282"/>
      <c r="N537" s="282"/>
      <c r="O537" s="281"/>
      <c r="P537" s="281"/>
      <c r="Q537" s="282"/>
      <c r="R537" s="284"/>
      <c r="S537"/>
      <c r="T537"/>
      <c r="U537"/>
      <c r="V537"/>
    </row>
    <row r="538" spans="1:22">
      <c r="A538" s="285"/>
      <c r="B538" s="286"/>
      <c r="C538" s="287"/>
      <c r="D538" s="288"/>
      <c r="E538" s="288"/>
      <c r="F538" s="288"/>
      <c r="G538" s="288"/>
      <c r="H538" s="288"/>
      <c r="I538" s="288"/>
      <c r="J538" s="289"/>
      <c r="K538" s="287"/>
      <c r="L538" s="288"/>
      <c r="M538" s="288"/>
      <c r="N538" s="288"/>
      <c r="O538" s="287"/>
      <c r="P538" s="287"/>
      <c r="Q538" s="288"/>
      <c r="R538" s="290"/>
      <c r="S538"/>
      <c r="T538"/>
      <c r="U538"/>
      <c r="V538"/>
    </row>
    <row r="539" spans="1:22">
      <c r="A539" s="285"/>
      <c r="B539" s="595"/>
      <c r="C539" s="596"/>
      <c r="D539" s="597"/>
      <c r="E539" s="597"/>
      <c r="F539" s="597"/>
      <c r="G539" s="597"/>
      <c r="H539" s="597"/>
      <c r="I539" s="597"/>
      <c r="J539" s="598"/>
      <c r="K539" s="596"/>
      <c r="L539" s="597"/>
      <c r="M539" s="597"/>
      <c r="N539" s="597"/>
      <c r="O539" s="596"/>
      <c r="P539" s="599"/>
      <c r="Q539" s="597"/>
      <c r="R539" s="600"/>
      <c r="S539"/>
      <c r="T539"/>
      <c r="U539"/>
      <c r="V539"/>
    </row>
    <row r="540" spans="1:22">
      <c r="A540" s="285"/>
      <c r="B540" s="264"/>
      <c r="C540" s="281"/>
      <c r="D540" s="282"/>
      <c r="E540" s="282"/>
      <c r="F540" s="282"/>
      <c r="G540" s="282"/>
      <c r="H540" s="282"/>
      <c r="I540" s="282"/>
      <c r="J540" s="283"/>
      <c r="K540" s="281"/>
      <c r="L540" s="282"/>
      <c r="M540" s="282"/>
      <c r="N540" s="282"/>
      <c r="O540" s="281"/>
      <c r="P540" s="281"/>
      <c r="Q540" s="282"/>
      <c r="R540" s="284"/>
      <c r="S540"/>
      <c r="T540"/>
      <c r="U540"/>
      <c r="V540"/>
    </row>
    <row r="541" spans="1:22">
      <c r="A541" s="285"/>
      <c r="B541" s="286"/>
      <c r="C541" s="287"/>
      <c r="D541" s="288"/>
      <c r="E541" s="288"/>
      <c r="F541" s="288"/>
      <c r="G541" s="288"/>
      <c r="H541" s="288"/>
      <c r="I541" s="288"/>
      <c r="J541" s="289"/>
      <c r="K541" s="287"/>
      <c r="L541" s="288"/>
      <c r="M541" s="288"/>
      <c r="N541" s="288"/>
      <c r="O541" s="287"/>
      <c r="P541" s="287"/>
      <c r="Q541" s="288"/>
      <c r="R541" s="290"/>
      <c r="S541"/>
      <c r="T541"/>
      <c r="U541"/>
      <c r="V541"/>
    </row>
    <row r="542" spans="1:22">
      <c r="A542" s="285"/>
      <c r="B542" s="595"/>
      <c r="C542" s="596"/>
      <c r="D542" s="597"/>
      <c r="E542" s="597"/>
      <c r="F542" s="597"/>
      <c r="G542" s="597"/>
      <c r="H542" s="597"/>
      <c r="I542" s="597"/>
      <c r="J542" s="598"/>
      <c r="K542" s="596"/>
      <c r="L542" s="597"/>
      <c r="M542" s="597"/>
      <c r="N542" s="597"/>
      <c r="O542" s="596"/>
      <c r="P542" s="599"/>
      <c r="Q542" s="597"/>
      <c r="R542" s="600"/>
      <c r="S542"/>
      <c r="T542"/>
      <c r="U542"/>
      <c r="V542"/>
    </row>
    <row r="543" spans="1:22">
      <c r="A543" s="285"/>
      <c r="B543" s="264"/>
      <c r="C543" s="281"/>
      <c r="D543" s="282"/>
      <c r="E543" s="282"/>
      <c r="F543" s="282"/>
      <c r="G543" s="282"/>
      <c r="H543" s="282"/>
      <c r="I543" s="282"/>
      <c r="J543" s="283"/>
      <c r="K543" s="281"/>
      <c r="L543" s="282"/>
      <c r="M543" s="282"/>
      <c r="N543" s="282"/>
      <c r="O543" s="281"/>
      <c r="P543" s="281"/>
      <c r="Q543" s="282"/>
      <c r="R543" s="284"/>
      <c r="S543"/>
      <c r="T543"/>
      <c r="U543"/>
      <c r="V543"/>
    </row>
    <row r="544" spans="1:22">
      <c r="A544" s="285"/>
      <c r="B544" s="286"/>
      <c r="C544" s="287"/>
      <c r="D544" s="288"/>
      <c r="E544" s="288"/>
      <c r="F544" s="288"/>
      <c r="G544" s="288"/>
      <c r="H544" s="288"/>
      <c r="I544" s="288"/>
      <c r="J544" s="289"/>
      <c r="K544" s="287"/>
      <c r="L544" s="288"/>
      <c r="M544" s="288"/>
      <c r="N544" s="288"/>
      <c r="O544" s="287"/>
      <c r="P544" s="287"/>
      <c r="Q544" s="288"/>
      <c r="R544" s="290"/>
      <c r="S544"/>
      <c r="T544"/>
      <c r="U544"/>
      <c r="V544"/>
    </row>
    <row r="545" spans="1:22">
      <c r="A545" s="292"/>
      <c r="B545" s="595"/>
      <c r="C545" s="596"/>
      <c r="D545" s="597"/>
      <c r="E545" s="597"/>
      <c r="F545" s="597"/>
      <c r="G545" s="597"/>
      <c r="H545" s="597"/>
      <c r="I545" s="597"/>
      <c r="J545" s="598"/>
      <c r="K545" s="596"/>
      <c r="L545" s="597"/>
      <c r="M545" s="597"/>
      <c r="N545" s="597"/>
      <c r="O545" s="596"/>
      <c r="P545" s="599"/>
      <c r="Q545" s="597"/>
      <c r="R545" s="600"/>
      <c r="S545"/>
      <c r="T545"/>
      <c r="U545"/>
      <c r="V545"/>
    </row>
    <row r="546" spans="1:22">
      <c r="A546" s="280"/>
      <c r="B546" s="264"/>
      <c r="C546" s="281"/>
      <c r="D546" s="282"/>
      <c r="E546" s="282"/>
      <c r="F546" s="282"/>
      <c r="G546" s="282"/>
      <c r="H546" s="282"/>
      <c r="I546" s="282"/>
      <c r="J546" s="283"/>
      <c r="K546" s="281"/>
      <c r="L546" s="282"/>
      <c r="M546" s="282"/>
      <c r="N546" s="282"/>
      <c r="O546" s="281"/>
      <c r="P546" s="281"/>
      <c r="Q546" s="282"/>
      <c r="R546" s="284"/>
      <c r="S546"/>
      <c r="T546"/>
      <c r="U546"/>
      <c r="V546"/>
    </row>
    <row r="547" spans="1:22">
      <c r="A547" s="285"/>
      <c r="B547" s="286"/>
      <c r="C547" s="287"/>
      <c r="D547" s="288"/>
      <c r="E547" s="288"/>
      <c r="F547" s="288"/>
      <c r="G547" s="288"/>
      <c r="H547" s="288"/>
      <c r="I547" s="288"/>
      <c r="J547" s="289"/>
      <c r="K547" s="287"/>
      <c r="L547" s="288"/>
      <c r="M547" s="288"/>
      <c r="N547" s="288"/>
      <c r="O547" s="287"/>
      <c r="P547" s="287"/>
      <c r="Q547" s="288"/>
      <c r="R547" s="290"/>
      <c r="S547"/>
      <c r="T547"/>
      <c r="U547"/>
      <c r="V547"/>
    </row>
    <row r="548" spans="1:22">
      <c r="A548" s="285"/>
      <c r="B548" s="595"/>
      <c r="C548" s="596"/>
      <c r="D548" s="597"/>
      <c r="E548" s="597"/>
      <c r="F548" s="597"/>
      <c r="G548" s="597"/>
      <c r="H548" s="597"/>
      <c r="I548" s="597"/>
      <c r="J548" s="598"/>
      <c r="K548" s="596"/>
      <c r="L548" s="597"/>
      <c r="M548" s="597"/>
      <c r="N548" s="597"/>
      <c r="O548" s="596"/>
      <c r="P548" s="599"/>
      <c r="Q548" s="597"/>
      <c r="R548" s="600"/>
      <c r="S548"/>
      <c r="T548"/>
      <c r="U548"/>
      <c r="V548"/>
    </row>
    <row r="549" spans="1:22">
      <c r="A549" s="285"/>
      <c r="B549" s="264"/>
      <c r="C549" s="281"/>
      <c r="D549" s="282"/>
      <c r="E549" s="282"/>
      <c r="F549" s="282"/>
      <c r="G549" s="282"/>
      <c r="H549" s="282"/>
      <c r="I549" s="282"/>
      <c r="J549" s="283"/>
      <c r="K549" s="281"/>
      <c r="L549" s="282"/>
      <c r="M549" s="282"/>
      <c r="N549" s="282"/>
      <c r="O549" s="281"/>
      <c r="P549" s="281"/>
      <c r="Q549" s="282"/>
      <c r="R549" s="284"/>
      <c r="S549"/>
      <c r="T549"/>
      <c r="U549"/>
      <c r="V549"/>
    </row>
    <row r="550" spans="1:22">
      <c r="A550" s="285"/>
      <c r="B550" s="286"/>
      <c r="C550" s="287"/>
      <c r="D550" s="288"/>
      <c r="E550" s="288"/>
      <c r="F550" s="288"/>
      <c r="G550" s="288"/>
      <c r="H550" s="288"/>
      <c r="I550" s="288"/>
      <c r="J550" s="289"/>
      <c r="K550" s="287"/>
      <c r="L550" s="288"/>
      <c r="M550" s="288"/>
      <c r="N550" s="288"/>
      <c r="O550" s="287"/>
      <c r="P550" s="287"/>
      <c r="Q550" s="288"/>
      <c r="R550" s="290"/>
      <c r="S550"/>
      <c r="T550"/>
      <c r="U550"/>
      <c r="V550"/>
    </row>
    <row r="551" spans="1:22">
      <c r="A551" s="285"/>
      <c r="B551" s="595"/>
      <c r="C551" s="596"/>
      <c r="D551" s="597"/>
      <c r="E551" s="597"/>
      <c r="F551" s="597"/>
      <c r="G551" s="597"/>
      <c r="H551" s="597"/>
      <c r="I551" s="597"/>
      <c r="J551" s="598"/>
      <c r="K551" s="596"/>
      <c r="L551" s="597"/>
      <c r="M551" s="597"/>
      <c r="N551" s="597"/>
      <c r="O551" s="596"/>
      <c r="P551" s="599"/>
      <c r="Q551" s="597"/>
      <c r="R551" s="600"/>
      <c r="S551"/>
      <c r="T551"/>
      <c r="U551"/>
      <c r="V551"/>
    </row>
    <row r="552" spans="1:22">
      <c r="A552" s="285"/>
      <c r="B552" s="264"/>
      <c r="C552" s="281"/>
      <c r="D552" s="282"/>
      <c r="E552" s="282"/>
      <c r="F552" s="282"/>
      <c r="G552" s="282"/>
      <c r="H552" s="282"/>
      <c r="I552" s="282"/>
      <c r="J552" s="283"/>
      <c r="K552" s="281"/>
      <c r="L552" s="282"/>
      <c r="M552" s="282"/>
      <c r="N552" s="282"/>
      <c r="O552" s="281"/>
      <c r="P552" s="281"/>
      <c r="Q552" s="282"/>
      <c r="R552" s="284"/>
      <c r="S552"/>
      <c r="T552"/>
      <c r="U552"/>
      <c r="V552"/>
    </row>
    <row r="553" spans="1:22">
      <c r="A553" s="285"/>
      <c r="B553" s="286"/>
      <c r="C553" s="287"/>
      <c r="D553" s="288"/>
      <c r="E553" s="288"/>
      <c r="F553" s="288"/>
      <c r="G553" s="288"/>
      <c r="H553" s="288"/>
      <c r="I553" s="288"/>
      <c r="J553" s="289"/>
      <c r="K553" s="287"/>
      <c r="L553" s="288"/>
      <c r="M553" s="288"/>
      <c r="N553" s="288"/>
      <c r="O553" s="287"/>
      <c r="P553" s="287"/>
      <c r="Q553" s="288"/>
      <c r="R553" s="290"/>
      <c r="S553"/>
      <c r="T553"/>
      <c r="U553"/>
      <c r="V553"/>
    </row>
    <row r="554" spans="1:22">
      <c r="A554" s="285"/>
      <c r="B554" s="595"/>
      <c r="C554" s="596"/>
      <c r="D554" s="597"/>
      <c r="E554" s="597"/>
      <c r="F554" s="597"/>
      <c r="G554" s="597"/>
      <c r="H554" s="597"/>
      <c r="I554" s="597"/>
      <c r="J554" s="598"/>
      <c r="K554" s="596"/>
      <c r="L554" s="597"/>
      <c r="M554" s="597"/>
      <c r="N554" s="597"/>
      <c r="O554" s="596"/>
      <c r="P554" s="599"/>
      <c r="Q554" s="597"/>
      <c r="R554" s="600"/>
      <c r="S554"/>
      <c r="T554"/>
      <c r="U554"/>
      <c r="V554"/>
    </row>
    <row r="555" spans="1:22">
      <c r="A555" s="285"/>
      <c r="B555" s="264"/>
      <c r="C555" s="281"/>
      <c r="D555" s="282"/>
      <c r="E555" s="282"/>
      <c r="F555" s="282"/>
      <c r="G555" s="282"/>
      <c r="H555" s="282"/>
      <c r="I555" s="282"/>
      <c r="J555" s="283"/>
      <c r="K555" s="281"/>
      <c r="L555" s="282"/>
      <c r="M555" s="282"/>
      <c r="N555" s="282"/>
      <c r="O555" s="281"/>
      <c r="P555" s="281"/>
      <c r="Q555" s="282"/>
      <c r="R555" s="284"/>
      <c r="S555"/>
      <c r="T555"/>
      <c r="U555"/>
      <c r="V555"/>
    </row>
    <row r="556" spans="1:22">
      <c r="A556" s="285"/>
      <c r="B556" s="286"/>
      <c r="C556" s="287"/>
      <c r="D556" s="288"/>
      <c r="E556" s="288"/>
      <c r="F556" s="288"/>
      <c r="G556" s="288"/>
      <c r="H556" s="288"/>
      <c r="I556" s="288"/>
      <c r="J556" s="289"/>
      <c r="K556" s="287"/>
      <c r="L556" s="288"/>
      <c r="M556" s="288"/>
      <c r="N556" s="288"/>
      <c r="O556" s="287"/>
      <c r="P556" s="287"/>
      <c r="Q556" s="288"/>
      <c r="R556" s="290"/>
      <c r="S556"/>
      <c r="T556"/>
      <c r="U556"/>
      <c r="V556"/>
    </row>
    <row r="557" spans="1:22">
      <c r="A557" s="285"/>
      <c r="B557" s="595"/>
      <c r="C557" s="596"/>
      <c r="D557" s="597"/>
      <c r="E557" s="597"/>
      <c r="F557" s="597"/>
      <c r="G557" s="597"/>
      <c r="H557" s="597"/>
      <c r="I557" s="597"/>
      <c r="J557" s="598"/>
      <c r="K557" s="596"/>
      <c r="L557" s="597"/>
      <c r="M557" s="597"/>
      <c r="N557" s="597"/>
      <c r="O557" s="596"/>
      <c r="P557" s="599"/>
      <c r="Q557" s="597"/>
      <c r="R557" s="600"/>
      <c r="S557"/>
      <c r="T557"/>
      <c r="U557"/>
      <c r="V557"/>
    </row>
    <row r="558" spans="1:22">
      <c r="A558" s="285"/>
      <c r="B558" s="264"/>
      <c r="C558" s="281"/>
      <c r="D558" s="282"/>
      <c r="E558" s="282"/>
      <c r="F558" s="282"/>
      <c r="G558" s="282"/>
      <c r="H558" s="282"/>
      <c r="I558" s="282"/>
      <c r="J558" s="283"/>
      <c r="K558" s="281"/>
      <c r="L558" s="282"/>
      <c r="M558" s="282"/>
      <c r="N558" s="282"/>
      <c r="O558" s="281"/>
      <c r="P558" s="281"/>
      <c r="Q558" s="282"/>
      <c r="R558" s="284"/>
      <c r="S558"/>
      <c r="T558"/>
      <c r="U558"/>
      <c r="V558"/>
    </row>
    <row r="559" spans="1:22">
      <c r="A559" s="285"/>
      <c r="B559" s="286"/>
      <c r="C559" s="287"/>
      <c r="D559" s="288"/>
      <c r="E559" s="288"/>
      <c r="F559" s="288"/>
      <c r="G559" s="288"/>
      <c r="H559" s="288"/>
      <c r="I559" s="288"/>
      <c r="J559" s="289"/>
      <c r="K559" s="287"/>
      <c r="L559" s="288"/>
      <c r="M559" s="288"/>
      <c r="N559" s="288"/>
      <c r="O559" s="287"/>
      <c r="P559" s="287"/>
      <c r="Q559" s="288"/>
      <c r="R559" s="290"/>
      <c r="S559"/>
      <c r="T559"/>
      <c r="U559"/>
      <c r="V559"/>
    </row>
    <row r="560" spans="1:22">
      <c r="A560" s="285"/>
      <c r="B560" s="595"/>
      <c r="C560" s="596"/>
      <c r="D560" s="597"/>
      <c r="E560" s="597"/>
      <c r="F560" s="597"/>
      <c r="G560" s="597"/>
      <c r="H560" s="597"/>
      <c r="I560" s="597"/>
      <c r="J560" s="598"/>
      <c r="K560" s="596"/>
      <c r="L560" s="597"/>
      <c r="M560" s="597"/>
      <c r="N560" s="597"/>
      <c r="O560" s="596"/>
      <c r="P560" s="599"/>
      <c r="Q560" s="597"/>
      <c r="R560" s="600"/>
      <c r="S560"/>
      <c r="T560"/>
      <c r="U560"/>
      <c r="V560"/>
    </row>
    <row r="561" spans="1:22">
      <c r="A561" s="285"/>
      <c r="B561" s="264"/>
      <c r="C561" s="281"/>
      <c r="D561" s="282"/>
      <c r="E561" s="282"/>
      <c r="F561" s="282"/>
      <c r="G561" s="282"/>
      <c r="H561" s="282"/>
      <c r="I561" s="282"/>
      <c r="J561" s="283"/>
      <c r="K561" s="281"/>
      <c r="L561" s="282"/>
      <c r="M561" s="282"/>
      <c r="N561" s="282"/>
      <c r="O561" s="281"/>
      <c r="P561" s="281"/>
      <c r="Q561" s="282"/>
      <c r="R561" s="284"/>
      <c r="S561"/>
      <c r="T561"/>
      <c r="U561"/>
      <c r="V561"/>
    </row>
    <row r="562" spans="1:22">
      <c r="A562" s="285"/>
      <c r="B562" s="286"/>
      <c r="C562" s="287"/>
      <c r="D562" s="288"/>
      <c r="E562" s="288"/>
      <c r="F562" s="288"/>
      <c r="G562" s="288"/>
      <c r="H562" s="288"/>
      <c r="I562" s="288"/>
      <c r="J562" s="289"/>
      <c r="K562" s="287"/>
      <c r="L562" s="288"/>
      <c r="M562" s="288"/>
      <c r="N562" s="288"/>
      <c r="O562" s="287"/>
      <c r="P562" s="287"/>
      <c r="Q562" s="288"/>
      <c r="R562" s="290"/>
      <c r="S562"/>
      <c r="T562"/>
      <c r="U562"/>
      <c r="V562"/>
    </row>
    <row r="563" spans="1:22">
      <c r="A563" s="285"/>
      <c r="B563" s="595"/>
      <c r="C563" s="596"/>
      <c r="D563" s="597"/>
      <c r="E563" s="597"/>
      <c r="F563" s="597"/>
      <c r="G563" s="597"/>
      <c r="H563" s="597"/>
      <c r="I563" s="597"/>
      <c r="J563" s="598"/>
      <c r="K563" s="596"/>
      <c r="L563" s="597"/>
      <c r="M563" s="597"/>
      <c r="N563" s="597"/>
      <c r="O563" s="596"/>
      <c r="P563" s="599"/>
      <c r="Q563" s="597"/>
      <c r="R563" s="600"/>
      <c r="S563"/>
      <c r="T563"/>
      <c r="U563"/>
      <c r="V563"/>
    </row>
    <row r="564" spans="1:22">
      <c r="A564" s="285"/>
      <c r="B564" s="264"/>
      <c r="C564" s="281"/>
      <c r="D564" s="282"/>
      <c r="E564" s="282"/>
      <c r="F564" s="282"/>
      <c r="G564" s="282"/>
      <c r="H564" s="282"/>
      <c r="I564" s="282"/>
      <c r="J564" s="283"/>
      <c r="K564" s="281"/>
      <c r="L564" s="282"/>
      <c r="M564" s="282"/>
      <c r="N564" s="282"/>
      <c r="O564" s="281"/>
      <c r="P564" s="281"/>
      <c r="Q564" s="282"/>
      <c r="R564" s="284"/>
      <c r="S564"/>
      <c r="T564"/>
      <c r="U564"/>
      <c r="V564"/>
    </row>
    <row r="565" spans="1:22">
      <c r="A565" s="285"/>
      <c r="B565" s="286"/>
      <c r="C565" s="287"/>
      <c r="D565" s="288"/>
      <c r="E565" s="288"/>
      <c r="F565" s="288"/>
      <c r="G565" s="288"/>
      <c r="H565" s="288"/>
      <c r="I565" s="288"/>
      <c r="J565" s="289"/>
      <c r="K565" s="287"/>
      <c r="L565" s="288"/>
      <c r="M565" s="288"/>
      <c r="N565" s="288"/>
      <c r="O565" s="287"/>
      <c r="P565" s="287"/>
      <c r="Q565" s="288"/>
      <c r="R565" s="290"/>
      <c r="S565"/>
      <c r="T565"/>
      <c r="U565"/>
      <c r="V565"/>
    </row>
    <row r="566" spans="1:22">
      <c r="A566" s="285"/>
      <c r="B566" s="595"/>
      <c r="C566" s="596"/>
      <c r="D566" s="597"/>
      <c r="E566" s="597"/>
      <c r="F566" s="597"/>
      <c r="G566" s="597"/>
      <c r="H566" s="597"/>
      <c r="I566" s="597"/>
      <c r="J566" s="598"/>
      <c r="K566" s="596"/>
      <c r="L566" s="597"/>
      <c r="M566" s="597"/>
      <c r="N566" s="597"/>
      <c r="O566" s="596"/>
      <c r="P566" s="599"/>
      <c r="Q566" s="597"/>
      <c r="R566" s="600"/>
      <c r="S566"/>
      <c r="T566"/>
      <c r="U566"/>
      <c r="V566"/>
    </row>
    <row r="567" spans="1:22">
      <c r="A567" s="285"/>
      <c r="B567" s="264"/>
      <c r="C567" s="281"/>
      <c r="D567" s="282"/>
      <c r="E567" s="282"/>
      <c r="F567" s="282"/>
      <c r="G567" s="282"/>
      <c r="H567" s="282"/>
      <c r="I567" s="282"/>
      <c r="J567" s="283"/>
      <c r="K567" s="281"/>
      <c r="L567" s="282"/>
      <c r="M567" s="282"/>
      <c r="N567" s="282"/>
      <c r="O567" s="281"/>
      <c r="P567" s="281"/>
      <c r="Q567" s="282"/>
      <c r="R567" s="284"/>
      <c r="S567"/>
      <c r="T567"/>
      <c r="U567"/>
      <c r="V567"/>
    </row>
    <row r="568" spans="1:22">
      <c r="A568" s="285"/>
      <c r="B568" s="286"/>
      <c r="C568" s="287"/>
      <c r="D568" s="288"/>
      <c r="E568" s="288"/>
      <c r="F568" s="288"/>
      <c r="G568" s="288"/>
      <c r="H568" s="288"/>
      <c r="I568" s="288"/>
      <c r="J568" s="289"/>
      <c r="K568" s="287"/>
      <c r="L568" s="288"/>
      <c r="M568" s="288"/>
      <c r="N568" s="288"/>
      <c r="O568" s="287"/>
      <c r="P568" s="287"/>
      <c r="Q568" s="288"/>
      <c r="R568" s="290"/>
      <c r="S568"/>
      <c r="T568"/>
      <c r="U568"/>
      <c r="V568"/>
    </row>
    <row r="569" spans="1:22">
      <c r="A569" s="285"/>
      <c r="B569" s="595"/>
      <c r="C569" s="596"/>
      <c r="D569" s="597"/>
      <c r="E569" s="597"/>
      <c r="F569" s="597"/>
      <c r="G569" s="597"/>
      <c r="H569" s="597"/>
      <c r="I569" s="597"/>
      <c r="J569" s="598"/>
      <c r="K569" s="596"/>
      <c r="L569" s="597"/>
      <c r="M569" s="597"/>
      <c r="N569" s="597"/>
      <c r="O569" s="596"/>
      <c r="P569" s="599"/>
      <c r="Q569" s="597"/>
      <c r="R569" s="600"/>
      <c r="S569"/>
      <c r="T569"/>
      <c r="U569"/>
      <c r="V569"/>
    </row>
    <row r="570" spans="1:22">
      <c r="A570" s="285"/>
      <c r="B570" s="264"/>
      <c r="C570" s="281"/>
      <c r="D570" s="282"/>
      <c r="E570" s="282"/>
      <c r="F570" s="282"/>
      <c r="G570" s="282"/>
      <c r="H570" s="282"/>
      <c r="I570" s="282"/>
      <c r="J570" s="283"/>
      <c r="K570" s="281"/>
      <c r="L570" s="282"/>
      <c r="M570" s="282"/>
      <c r="N570" s="282"/>
      <c r="O570" s="281"/>
      <c r="P570" s="281"/>
      <c r="Q570" s="282"/>
      <c r="R570" s="284"/>
      <c r="S570"/>
      <c r="T570"/>
      <c r="U570"/>
      <c r="V570"/>
    </row>
    <row r="571" spans="1:22">
      <c r="A571" s="285"/>
      <c r="B571" s="286"/>
      <c r="C571" s="287"/>
      <c r="D571" s="288"/>
      <c r="E571" s="288"/>
      <c r="F571" s="288"/>
      <c r="G571" s="288"/>
      <c r="H571" s="288"/>
      <c r="I571" s="288"/>
      <c r="J571" s="289"/>
      <c r="K571" s="287"/>
      <c r="L571" s="288"/>
      <c r="M571" s="288"/>
      <c r="N571" s="288"/>
      <c r="O571" s="287"/>
      <c r="P571" s="287"/>
      <c r="Q571" s="288"/>
      <c r="R571" s="290"/>
      <c r="S571"/>
      <c r="T571"/>
      <c r="U571"/>
      <c r="V571"/>
    </row>
    <row r="572" spans="1:22">
      <c r="A572" s="285"/>
      <c r="B572" s="595"/>
      <c r="C572" s="596"/>
      <c r="D572" s="597"/>
      <c r="E572" s="597"/>
      <c r="F572" s="597"/>
      <c r="G572" s="597"/>
      <c r="H572" s="597"/>
      <c r="I572" s="597"/>
      <c r="J572" s="598"/>
      <c r="K572" s="596"/>
      <c r="L572" s="597"/>
      <c r="M572" s="597"/>
      <c r="N572" s="597"/>
      <c r="O572" s="596"/>
      <c r="P572" s="599"/>
      <c r="Q572" s="597"/>
      <c r="R572" s="600"/>
      <c r="S572"/>
      <c r="T572"/>
      <c r="U572"/>
      <c r="V572"/>
    </row>
    <row r="573" spans="1:22">
      <c r="A573" s="285"/>
      <c r="B573" s="264"/>
      <c r="C573" s="281"/>
      <c r="D573" s="282"/>
      <c r="E573" s="282"/>
      <c r="F573" s="282"/>
      <c r="G573" s="282"/>
      <c r="H573" s="282"/>
      <c r="I573" s="282"/>
      <c r="J573" s="283"/>
      <c r="K573" s="281"/>
      <c r="L573" s="282"/>
      <c r="M573" s="282"/>
      <c r="N573" s="282"/>
      <c r="O573" s="281"/>
      <c r="P573" s="281"/>
      <c r="Q573" s="282"/>
      <c r="R573" s="284"/>
      <c r="S573"/>
      <c r="T573"/>
      <c r="U573"/>
      <c r="V573"/>
    </row>
    <row r="574" spans="1:22">
      <c r="A574" s="285"/>
      <c r="B574" s="286"/>
      <c r="C574" s="287"/>
      <c r="D574" s="288"/>
      <c r="E574" s="288"/>
      <c r="F574" s="288"/>
      <c r="G574" s="288"/>
      <c r="H574" s="288"/>
      <c r="I574" s="288"/>
      <c r="J574" s="289"/>
      <c r="K574" s="287"/>
      <c r="L574" s="288"/>
      <c r="M574" s="288"/>
      <c r="N574" s="288"/>
      <c r="O574" s="287"/>
      <c r="P574" s="287"/>
      <c r="Q574" s="288"/>
      <c r="R574" s="290"/>
      <c r="S574"/>
      <c r="T574"/>
      <c r="U574"/>
      <c r="V574"/>
    </row>
    <row r="575" spans="1:22">
      <c r="A575" s="285"/>
      <c r="B575" s="595"/>
      <c r="C575" s="596"/>
      <c r="D575" s="597"/>
      <c r="E575" s="597"/>
      <c r="F575" s="597"/>
      <c r="G575" s="597"/>
      <c r="H575" s="597"/>
      <c r="I575" s="597"/>
      <c r="J575" s="598"/>
      <c r="K575" s="596"/>
      <c r="L575" s="597"/>
      <c r="M575" s="597"/>
      <c r="N575" s="597"/>
      <c r="O575" s="596"/>
      <c r="P575" s="599"/>
      <c r="Q575" s="597"/>
      <c r="R575" s="600"/>
      <c r="S575"/>
      <c r="T575"/>
      <c r="U575"/>
      <c r="V575"/>
    </row>
    <row r="576" spans="1:22">
      <c r="A576" s="285"/>
      <c r="B576" s="264"/>
      <c r="C576" s="281"/>
      <c r="D576" s="282"/>
      <c r="E576" s="282"/>
      <c r="F576" s="282"/>
      <c r="G576" s="282"/>
      <c r="H576" s="282"/>
      <c r="I576" s="282"/>
      <c r="J576" s="283"/>
      <c r="K576" s="281"/>
      <c r="L576" s="282"/>
      <c r="M576" s="282"/>
      <c r="N576" s="282"/>
      <c r="O576" s="281"/>
      <c r="P576" s="281"/>
      <c r="Q576" s="282"/>
      <c r="R576" s="284"/>
      <c r="S576"/>
      <c r="T576"/>
      <c r="U576"/>
      <c r="V576"/>
    </row>
    <row r="577" spans="1:22">
      <c r="A577" s="285"/>
      <c r="B577" s="286"/>
      <c r="C577" s="287"/>
      <c r="D577" s="288"/>
      <c r="E577" s="288"/>
      <c r="F577" s="288"/>
      <c r="G577" s="288"/>
      <c r="H577" s="288"/>
      <c r="I577" s="288"/>
      <c r="J577" s="289"/>
      <c r="K577" s="287"/>
      <c r="L577" s="288"/>
      <c r="M577" s="288"/>
      <c r="N577" s="288"/>
      <c r="O577" s="287"/>
      <c r="P577" s="287"/>
      <c r="Q577" s="288"/>
      <c r="R577" s="290"/>
      <c r="S577"/>
      <c r="T577"/>
      <c r="U577"/>
      <c r="V577"/>
    </row>
    <row r="578" spans="1:22">
      <c r="A578" s="285"/>
      <c r="B578" s="595"/>
      <c r="C578" s="596"/>
      <c r="D578" s="597"/>
      <c r="E578" s="597"/>
      <c r="F578" s="597"/>
      <c r="G578" s="597"/>
      <c r="H578" s="597"/>
      <c r="I578" s="597"/>
      <c r="J578" s="598"/>
      <c r="K578" s="596"/>
      <c r="L578" s="597"/>
      <c r="M578" s="597"/>
      <c r="N578" s="597"/>
      <c r="O578" s="596"/>
      <c r="P578" s="599"/>
      <c r="Q578" s="597"/>
      <c r="R578" s="600"/>
      <c r="S578"/>
      <c r="T578"/>
      <c r="U578"/>
      <c r="V578"/>
    </row>
    <row r="579" spans="1:22">
      <c r="A579" s="285"/>
      <c r="B579" s="264"/>
      <c r="C579" s="281"/>
      <c r="D579" s="282"/>
      <c r="E579" s="282"/>
      <c r="F579" s="282"/>
      <c r="G579" s="282"/>
      <c r="H579" s="282"/>
      <c r="I579" s="282"/>
      <c r="J579" s="283"/>
      <c r="K579" s="281"/>
      <c r="L579" s="282"/>
      <c r="M579" s="282"/>
      <c r="N579" s="282"/>
      <c r="O579" s="281"/>
      <c r="P579" s="281"/>
      <c r="Q579" s="282"/>
      <c r="R579" s="284"/>
      <c r="S579"/>
      <c r="T579"/>
      <c r="U579"/>
      <c r="V579"/>
    </row>
    <row r="580" spans="1:22">
      <c r="A580" s="285"/>
      <c r="B580" s="286"/>
      <c r="C580" s="287"/>
      <c r="D580" s="288"/>
      <c r="E580" s="288"/>
      <c r="F580" s="288"/>
      <c r="G580" s="288"/>
      <c r="H580" s="288"/>
      <c r="I580" s="288"/>
      <c r="J580" s="289"/>
      <c r="K580" s="287"/>
      <c r="L580" s="288"/>
      <c r="M580" s="288"/>
      <c r="N580" s="288"/>
      <c r="O580" s="287"/>
      <c r="P580" s="287"/>
      <c r="Q580" s="288"/>
      <c r="R580" s="290"/>
      <c r="S580"/>
      <c r="T580"/>
      <c r="U580"/>
      <c r="V580"/>
    </row>
    <row r="581" spans="1:22">
      <c r="A581" s="292"/>
      <c r="B581" s="595"/>
      <c r="C581" s="596"/>
      <c r="D581" s="597"/>
      <c r="E581" s="597"/>
      <c r="F581" s="597"/>
      <c r="G581" s="597"/>
      <c r="H581" s="597"/>
      <c r="I581" s="597"/>
      <c r="J581" s="598"/>
      <c r="K581" s="596"/>
      <c r="L581" s="597"/>
      <c r="M581" s="597"/>
      <c r="N581" s="597"/>
      <c r="O581" s="596"/>
      <c r="P581" s="599"/>
      <c r="Q581" s="597"/>
      <c r="R581" s="600"/>
      <c r="S581"/>
      <c r="T581"/>
      <c r="U581"/>
      <c r="V5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NEW...Tables 87-90</vt:lpstr>
      <vt:lpstr>OLD...Tables</vt:lpstr>
      <vt:lpstr>NEW...Tables 91-112</vt:lpstr>
      <vt:lpstr>OLD...Tabs</vt:lpstr>
      <vt:lpstr>Summary Table for Fact Book</vt:lpstr>
      <vt:lpstr>Pivot Table for Data Exchange</vt:lpstr>
      <vt:lpstr>Pivot Table for Fact Book</vt:lpstr>
      <vt:lpstr>E-learning credit hours</vt:lpstr>
      <vt:lpstr>Format 01</vt:lpstr>
      <vt:lpstr>'NEW...Tables 87-90'!Print_Area</vt:lpstr>
      <vt:lpstr>'NEW...Tables 91-112'!Print_Area</vt:lpstr>
      <vt:lpstr>OLD...Tables!Print_Area</vt:lpstr>
      <vt:lpstr>OLD...Tabs!Print_Area</vt:lpstr>
      <vt:lpstr>'E-learning credit hours'!Type10ug1</vt:lpstr>
      <vt:lpstr>'E-learning credit hours'!Type10ug2</vt:lpstr>
      <vt:lpstr>'E-learning credit hours'!Type10ug3</vt:lpstr>
      <vt:lpstr>'E-learning credit hours'!Type10ug4</vt:lpstr>
      <vt:lpstr>'E-learning credit hours'!Type10ug5</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2012-01-19T16:14:44Z</cp:lastPrinted>
  <dcterms:created xsi:type="dcterms:W3CDTF">2010-11-24T15:25:05Z</dcterms:created>
  <dcterms:modified xsi:type="dcterms:W3CDTF">2012-01-19T16:15:10Z</dcterms:modified>
</cp:coreProperties>
</file>